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415" yWindow="465" windowWidth="3450" windowHeight="9090" tabRatio="601"/>
  </bookViews>
  <sheets>
    <sheet name="RM-17-01 Input Data" sheetId="2" r:id="rId1"/>
    <sheet name="RM-17 Field Test Vs Shop Test" sheetId="3" r:id="rId2"/>
  </sheets>
  <definedNames>
    <definedName name="_xlnm.Print_Area" localSheetId="1">'RM-17 Field Test Vs Shop Test'!$A$1:$R$54</definedName>
  </definedNames>
  <calcPr calcId="125725"/>
</workbook>
</file>

<file path=xl/calcChain.xml><?xml version="1.0" encoding="utf-8"?>
<calcChain xmlns="http://schemas.openxmlformats.org/spreadsheetml/2006/main">
  <c r="H63" i="2"/>
  <c r="H71"/>
  <c r="F51"/>
  <c r="F52"/>
  <c r="F53"/>
  <c r="F54"/>
  <c r="F55"/>
  <c r="E46"/>
  <c r="E47"/>
  <c r="E48"/>
  <c r="J12" i="3"/>
  <c r="L12" s="1"/>
  <c r="J13"/>
  <c r="J14"/>
  <c r="L14" s="1"/>
  <c r="N14" s="1"/>
  <c r="P14" s="1"/>
  <c r="R14" s="1"/>
  <c r="J15"/>
  <c r="L15"/>
  <c r="N15" s="1"/>
  <c r="P15" s="1"/>
  <c r="R15" s="1"/>
  <c r="J20"/>
  <c r="L20" s="1"/>
  <c r="N20" s="1"/>
  <c r="P20" s="1"/>
  <c r="R20" s="1"/>
  <c r="J21"/>
  <c r="L21"/>
  <c r="N21" s="1"/>
  <c r="P21" s="1"/>
  <c r="R21" s="1"/>
  <c r="J27"/>
  <c r="J28"/>
  <c r="L28"/>
  <c r="J29"/>
  <c r="L29"/>
  <c r="N29" s="1"/>
  <c r="J30"/>
  <c r="L30" s="1"/>
  <c r="J43"/>
  <c r="L43" s="1"/>
  <c r="N43" s="1"/>
  <c r="P43" s="1"/>
  <c r="R43" s="1"/>
  <c r="L13"/>
  <c r="N47"/>
  <c r="P47"/>
  <c r="R47" s="1"/>
  <c r="I22"/>
  <c r="I44" s="1"/>
  <c r="D28"/>
  <c r="D27"/>
  <c r="D13"/>
  <c r="D14"/>
  <c r="D15"/>
  <c r="D12"/>
  <c r="D21" i="2"/>
  <c r="G61"/>
  <c r="G71"/>
  <c r="G70"/>
  <c r="G34"/>
  <c r="G69"/>
  <c r="G65"/>
  <c r="D20"/>
  <c r="E11"/>
  <c r="J7" i="3" s="1"/>
  <c r="L7" s="1"/>
  <c r="N7" s="1"/>
  <c r="P7" s="1"/>
  <c r="R7" s="1"/>
  <c r="I16"/>
  <c r="H65" i="2"/>
  <c r="J16" i="3"/>
  <c r="J19"/>
  <c r="J22" s="1"/>
  <c r="L35"/>
  <c r="J35"/>
  <c r="N35"/>
  <c r="J47"/>
  <c r="I31"/>
  <c r="F50"/>
  <c r="N34"/>
  <c r="N13"/>
  <c r="P13" s="1"/>
  <c r="R13" s="1"/>
  <c r="J34"/>
  <c r="L34"/>
  <c r="L36" s="1"/>
  <c r="L42" s="1"/>
  <c r="P34"/>
  <c r="R34"/>
  <c r="I46"/>
  <c r="I36"/>
  <c r="J31"/>
  <c r="J41" s="1"/>
  <c r="J44" s="1"/>
  <c r="J36"/>
  <c r="J42" s="1"/>
  <c r="N36"/>
  <c r="N42"/>
  <c r="L27"/>
  <c r="N27"/>
  <c r="N28"/>
  <c r="P28"/>
  <c r="R28" s="1"/>
  <c r="P27"/>
  <c r="I47"/>
  <c r="P35"/>
  <c r="R35" s="1"/>
  <c r="R36" s="1"/>
  <c r="R42" s="1"/>
  <c r="I48"/>
  <c r="P36"/>
  <c r="P42" s="1"/>
  <c r="R27"/>
  <c r="P29" l="1"/>
  <c r="R29" s="1"/>
  <c r="R31" s="1"/>
  <c r="R41" s="1"/>
  <c r="R44" s="1"/>
  <c r="L16"/>
  <c r="L19" s="1"/>
  <c r="L22" s="1"/>
  <c r="N12"/>
  <c r="N30"/>
  <c r="P30" s="1"/>
  <c r="R30" s="1"/>
  <c r="L31"/>
  <c r="L41" s="1"/>
  <c r="L44" s="1"/>
  <c r="J46"/>
  <c r="J48" s="1"/>
  <c r="P31"/>
  <c r="P41" s="1"/>
  <c r="P44" s="1"/>
  <c r="N31" l="1"/>
  <c r="N41" s="1"/>
  <c r="N44" s="1"/>
  <c r="L46"/>
  <c r="L48" s="1"/>
  <c r="J50"/>
  <c r="J51" s="1"/>
  <c r="F52" s="1"/>
  <c r="N16"/>
  <c r="N19" s="1"/>
  <c r="N22" s="1"/>
  <c r="N46" s="1"/>
  <c r="P12"/>
  <c r="L50" l="1"/>
  <c r="L51" s="1"/>
  <c r="N48"/>
  <c r="P16"/>
  <c r="P19" s="1"/>
  <c r="P22" s="1"/>
  <c r="P46" s="1"/>
  <c r="R12"/>
  <c r="R16" s="1"/>
  <c r="R19" s="1"/>
  <c r="R22" s="1"/>
  <c r="R46" s="1"/>
  <c r="N50" l="1"/>
  <c r="N51" s="1"/>
  <c r="P48"/>
  <c r="P50" l="1"/>
  <c r="P51" s="1"/>
  <c r="R48"/>
  <c r="R50" l="1"/>
  <c r="R51" s="1"/>
  <c r="F54"/>
</calcChain>
</file>

<file path=xl/sharedStrings.xml><?xml version="1.0" encoding="utf-8"?>
<sst xmlns="http://schemas.openxmlformats.org/spreadsheetml/2006/main" count="102" uniqueCount="82">
  <si>
    <t>CUSTOMER INPUT DATA</t>
  </si>
  <si>
    <t>General Information</t>
  </si>
  <si>
    <t>Current Year</t>
  </si>
  <si>
    <t>Annual Company Growth</t>
  </si>
  <si>
    <t>Annual Inflation</t>
  </si>
  <si>
    <t>Local Currency</t>
  </si>
  <si>
    <t>Administration Rate</t>
  </si>
  <si>
    <t>Number</t>
  </si>
  <si>
    <t>hr each</t>
  </si>
  <si>
    <t>Cal Time (man hrs)</t>
  </si>
  <si>
    <t>Administration Time</t>
  </si>
  <si>
    <t>per annum</t>
  </si>
  <si>
    <t>Capital Investment</t>
  </si>
  <si>
    <t>Quantity</t>
  </si>
  <si>
    <t>Depreciation Rate per annum</t>
  </si>
  <si>
    <t>%</t>
  </si>
  <si>
    <t xml:space="preserve">                           </t>
  </si>
  <si>
    <t>(3 year total cost)</t>
  </si>
  <si>
    <t>Operational Cost</t>
  </si>
  <si>
    <t xml:space="preserve">  Total</t>
  </si>
  <si>
    <t>Total Operational Cost</t>
  </si>
  <si>
    <t xml:space="preserve">Annual Calibrator System Cost </t>
  </si>
  <si>
    <t>Internal Administration Cost</t>
  </si>
  <si>
    <t>Total Existing Calibration Cost</t>
  </si>
  <si>
    <t>Annual Depreciation</t>
  </si>
  <si>
    <t>Annual Calibrator Cost</t>
  </si>
  <si>
    <t>Savings (Deficit)</t>
  </si>
  <si>
    <t>Cash Payback</t>
  </si>
  <si>
    <t>Payback Period</t>
  </si>
  <si>
    <t>Years</t>
  </si>
  <si>
    <t>Return On Investment (5 year avg)</t>
  </si>
  <si>
    <t>$</t>
  </si>
  <si>
    <t>Total Investment</t>
  </si>
  <si>
    <t>Meter Test Inventory</t>
  </si>
  <si>
    <t>Tests</t>
  </si>
  <si>
    <t>Extended warranty plan</t>
  </si>
  <si>
    <t>Test Time (man hrs)</t>
  </si>
  <si>
    <t>RETURN ON INVESTMENT CALCULATOR</t>
  </si>
  <si>
    <t xml:space="preserve"> Meter Shop Testing </t>
  </si>
  <si>
    <t>Field Testing Using RM-17</t>
  </si>
  <si>
    <t>RM-17-01</t>
  </si>
  <si>
    <t>Testing @ 80meters/Day</t>
  </si>
  <si>
    <t>Inspecting/Packing @ 200meter/Day</t>
  </si>
  <si>
    <t>Hypotting @ 400meters/Day</t>
  </si>
  <si>
    <t>Field Testing</t>
  </si>
  <si>
    <t>Test Data Entry</t>
  </si>
  <si>
    <t>Meter Shop Testing</t>
  </si>
  <si>
    <t>RM-17-01 RETURN ON INVESTMENT</t>
  </si>
  <si>
    <t>per annual</t>
  </si>
  <si>
    <t>Meter Test Considered</t>
  </si>
  <si>
    <t>Number of Retirements</t>
  </si>
  <si>
    <t>Number of Meter out of Calibration</t>
  </si>
  <si>
    <t>New Meter Purchase Costs</t>
  </si>
  <si>
    <t>Unit Cost</t>
  </si>
  <si>
    <t>Asset Overhead</t>
  </si>
  <si>
    <t>Initial Test Cost</t>
  </si>
  <si>
    <t>Total Meter Cost</t>
  </si>
  <si>
    <t>Total Cost for RM-17 Field Testing</t>
  </si>
  <si>
    <t>RM-17 Field Testing Cost</t>
  </si>
  <si>
    <t>Meter Inventory Savings Information</t>
  </si>
  <si>
    <t>Meter Purchase Reduction</t>
  </si>
  <si>
    <t>Per Year</t>
  </si>
  <si>
    <t>Total RM-17 Field Test Cost</t>
  </si>
  <si>
    <t>Annual Cost</t>
  </si>
  <si>
    <t>Recal Cost (Recert Package)</t>
  </si>
  <si>
    <t>Cumulative Savings</t>
  </si>
  <si>
    <t>Current Month</t>
  </si>
  <si>
    <t>Maintenance of existing test system (all items)</t>
  </si>
  <si>
    <t>New Asset Implementation Cost</t>
  </si>
  <si>
    <t>Internal Labor /Overhead Rates per hour</t>
  </si>
  <si>
    <t>Labor Rate</t>
  </si>
  <si>
    <t>Field Handling Per Meter</t>
  </si>
  <si>
    <t>Test Routine Development and Integration</t>
  </si>
  <si>
    <t>Field Meter Exchange Reduction</t>
  </si>
  <si>
    <t>Field Meter Inventory Reduction</t>
  </si>
  <si>
    <t>Quantity Need Estimate</t>
  </si>
  <si>
    <t>Meters to Test with RM-17</t>
  </si>
  <si>
    <t>per day</t>
  </si>
  <si>
    <t>Number of Field Techs</t>
  </si>
  <si>
    <t>(3 year calibration)</t>
  </si>
  <si>
    <r>
      <t>1</t>
    </r>
    <r>
      <rPr>
        <b/>
        <vertAlign val="superscript"/>
        <sz val="10"/>
        <color indexed="8"/>
        <rFont val="Helvetica"/>
      </rPr>
      <t>st</t>
    </r>
    <r>
      <rPr>
        <b/>
        <sz val="10"/>
        <color indexed="8"/>
        <rFont val="Helvetica"/>
      </rPr>
      <t xml:space="preserve"> Year Meter Reduction Capital Savings</t>
    </r>
  </si>
  <si>
    <t>RM-17 FIELD VS. SHOP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</si>
</sst>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64" formatCode="yyyy"/>
    <numFmt numFmtId="165" formatCode="&quot;$&quot;#,##0"/>
    <numFmt numFmtId="168" formatCode="#,##0.000_);\(#,##0.000\)"/>
  </numFmts>
  <fonts count="32">
    <font>
      <sz val="10"/>
      <color indexed="18"/>
      <name val="MS Sans Serif"/>
    </font>
    <font>
      <sz val="10"/>
      <name val="MS Sans Serif"/>
    </font>
    <font>
      <sz val="10"/>
      <color indexed="8"/>
      <name val="Helvetica"/>
    </font>
    <font>
      <sz val="10"/>
      <color indexed="12"/>
      <name val="Helvetica"/>
    </font>
    <font>
      <b/>
      <sz val="10"/>
      <color indexed="8"/>
      <name val="Helvetica"/>
    </font>
    <font>
      <sz val="10"/>
      <color indexed="8"/>
      <name val="Helvetica"/>
      <family val="2"/>
    </font>
    <font>
      <b/>
      <sz val="10"/>
      <color indexed="39"/>
      <name val="Helvetica"/>
    </font>
    <font>
      <b/>
      <sz val="14"/>
      <color indexed="16"/>
      <name val="Helvetica"/>
    </font>
    <font>
      <b/>
      <sz val="10"/>
      <color indexed="18"/>
      <name val="MS Sans Serif"/>
    </font>
    <font>
      <b/>
      <sz val="20"/>
      <color indexed="8"/>
      <name val="Wavetek"/>
    </font>
    <font>
      <b/>
      <sz val="8"/>
      <color indexed="8"/>
      <name val="Helvetica"/>
    </font>
    <font>
      <b/>
      <sz val="12"/>
      <color indexed="8"/>
      <name val="Helvetica"/>
    </font>
    <font>
      <sz val="12"/>
      <color indexed="18"/>
      <name val="MS Sans Serif"/>
    </font>
    <font>
      <sz val="12"/>
      <color indexed="32"/>
      <name val="Helvetica"/>
    </font>
    <font>
      <sz val="10"/>
      <name val="MS Sans Serif"/>
      <family val="2"/>
    </font>
    <font>
      <b/>
      <sz val="14"/>
      <color indexed="10"/>
      <name val="Helvetica"/>
    </font>
    <font>
      <sz val="10"/>
      <color indexed="18"/>
      <name val="MS Sans Serif"/>
    </font>
    <font>
      <b/>
      <sz val="10"/>
      <color indexed="12"/>
      <name val="Helvetica"/>
    </font>
    <font>
      <sz val="10"/>
      <color indexed="18"/>
      <name val="MS Sans Serif"/>
    </font>
    <font>
      <b/>
      <sz val="10"/>
      <color indexed="8"/>
      <name val="MS Sans Serif"/>
      <family val="2"/>
    </font>
    <font>
      <sz val="10"/>
      <color indexed="18"/>
      <name val="MS Sans Serif"/>
    </font>
    <font>
      <b/>
      <sz val="10"/>
      <name val="MS Sans Serif"/>
      <family val="2"/>
    </font>
    <font>
      <sz val="10"/>
      <color indexed="18"/>
      <name val="MS Sans Serif"/>
    </font>
    <font>
      <sz val="10"/>
      <name val="Helvetica"/>
    </font>
    <font>
      <sz val="10"/>
      <color indexed="18"/>
      <name val="MS Sans Serif"/>
    </font>
    <font>
      <sz val="10"/>
      <color indexed="32"/>
      <name val="Helvetica"/>
    </font>
    <font>
      <sz val="10"/>
      <color indexed="18"/>
      <name val="MS Sans Serif"/>
    </font>
    <font>
      <b/>
      <sz val="10"/>
      <color indexed="8"/>
      <name val="Helvetica"/>
      <family val="2"/>
    </font>
    <font>
      <b/>
      <i/>
      <sz val="10"/>
      <name val="MS Sans Serif"/>
      <family val="2"/>
    </font>
    <font>
      <sz val="8"/>
      <name val="MS Sans Serif"/>
    </font>
    <font>
      <b/>
      <sz val="10"/>
      <name val="Helvetica"/>
    </font>
    <font>
      <b/>
      <vertAlign val="superscript"/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9" fontId="0" fillId="0" borderId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9" fontId="0" fillId="0" borderId="0" xfId="0"/>
    <xf numFmtId="9" fontId="2" fillId="0" borderId="0" xfId="0" applyFont="1"/>
    <xf numFmtId="9" fontId="4" fillId="0" borderId="0" xfId="0" applyFont="1"/>
    <xf numFmtId="9" fontId="4" fillId="2" borderId="0" xfId="0" applyFont="1" applyFill="1"/>
    <xf numFmtId="9" fontId="2" fillId="2" borderId="0" xfId="0" applyFont="1" applyFill="1"/>
    <xf numFmtId="164" fontId="4" fillId="2" borderId="0" xfId="0" applyNumberFormat="1" applyFont="1" applyFill="1" applyAlignment="1">
      <alignment horizontal="center"/>
    </xf>
    <xf numFmtId="6" fontId="2" fillId="2" borderId="0" xfId="2" applyFont="1" applyFill="1"/>
    <xf numFmtId="9" fontId="4" fillId="2" borderId="0" xfId="0" applyFont="1" applyFill="1" applyAlignment="1">
      <alignment horizontal="center"/>
    </xf>
    <xf numFmtId="6" fontId="4" fillId="2" borderId="0" xfId="2" applyFont="1" applyFill="1"/>
    <xf numFmtId="9" fontId="0" fillId="2" borderId="0" xfId="0" applyFill="1"/>
    <xf numFmtId="164" fontId="4" fillId="2" borderId="0" xfId="0" applyNumberFormat="1" applyFont="1" applyFill="1"/>
    <xf numFmtId="37" fontId="3" fillId="2" borderId="0" xfId="1" applyNumberFormat="1" applyFont="1" applyFill="1"/>
    <xf numFmtId="3" fontId="5" fillId="2" borderId="0" xfId="1" applyNumberFormat="1" applyFont="1" applyFill="1"/>
    <xf numFmtId="37" fontId="2" fillId="2" borderId="0" xfId="0" applyNumberFormat="1" applyFont="1" applyFill="1"/>
    <xf numFmtId="9" fontId="7" fillId="2" borderId="0" xfId="0" applyFont="1" applyFill="1" applyAlignment="1">
      <alignment horizontal="center"/>
    </xf>
    <xf numFmtId="0" fontId="9" fillId="2" borderId="0" xfId="0" applyNumberFormat="1" applyFont="1" applyFill="1" applyAlignment="1">
      <alignment horizontal="center"/>
    </xf>
    <xf numFmtId="9" fontId="10" fillId="2" borderId="0" xfId="0" applyFont="1" applyFill="1" applyAlignment="1">
      <alignment horizontal="left"/>
    </xf>
    <xf numFmtId="37" fontId="2" fillId="2" borderId="1" xfId="0" applyNumberFormat="1" applyFont="1" applyFill="1" applyBorder="1"/>
    <xf numFmtId="9" fontId="0" fillId="0" borderId="0" xfId="0" applyAlignment="1">
      <alignment horizontal="center"/>
    </xf>
    <xf numFmtId="9" fontId="12" fillId="2" borderId="0" xfId="0" applyFont="1" applyFill="1"/>
    <xf numFmtId="9" fontId="11" fillId="2" borderId="0" xfId="0" applyFont="1" applyFill="1" applyAlignment="1">
      <alignment horizontal="center"/>
    </xf>
    <xf numFmtId="9" fontId="10" fillId="2" borderId="0" xfId="0" applyFont="1" applyFill="1" applyAlignment="1">
      <alignment horizontal="center"/>
    </xf>
    <xf numFmtId="9" fontId="2" fillId="2" borderId="0" xfId="0" quotePrefix="1" applyFont="1" applyFill="1" applyAlignment="1">
      <alignment horizontal="left"/>
    </xf>
    <xf numFmtId="9" fontId="13" fillId="2" borderId="0" xfId="0" quotePrefix="1" applyFont="1" applyFill="1" applyAlignment="1">
      <alignment horizontal="left"/>
    </xf>
    <xf numFmtId="9" fontId="4" fillId="2" borderId="0" xfId="0" quotePrefix="1" applyFont="1" applyFill="1" applyAlignment="1">
      <alignment horizontal="left"/>
    </xf>
    <xf numFmtId="9" fontId="0" fillId="0" borderId="0" xfId="0" applyBorder="1"/>
    <xf numFmtId="164" fontId="4" fillId="2" borderId="0" xfId="0" applyNumberFormat="1" applyFont="1" applyFill="1" applyBorder="1"/>
    <xf numFmtId="9" fontId="2" fillId="2" borderId="0" xfId="0" applyFont="1" applyFill="1" applyBorder="1"/>
    <xf numFmtId="9" fontId="2" fillId="0" borderId="0" xfId="0" applyFont="1" applyBorder="1"/>
    <xf numFmtId="37" fontId="2" fillId="2" borderId="0" xfId="0" applyNumberFormat="1" applyFont="1" applyFill="1" applyBorder="1"/>
    <xf numFmtId="164" fontId="2" fillId="2" borderId="0" xfId="0" applyNumberFormat="1" applyFont="1" applyFill="1" applyBorder="1"/>
    <xf numFmtId="9" fontId="2" fillId="0" borderId="0" xfId="0" applyFont="1" applyFill="1"/>
    <xf numFmtId="9" fontId="2" fillId="0" borderId="0" xfId="0" applyFont="1" applyFill="1" applyBorder="1"/>
    <xf numFmtId="9" fontId="14" fillId="0" borderId="0" xfId="0" applyFont="1"/>
    <xf numFmtId="9" fontId="1" fillId="0" borderId="0" xfId="0" applyFont="1"/>
    <xf numFmtId="9" fontId="2" fillId="2" borderId="0" xfId="0" applyFont="1" applyFill="1" applyAlignment="1">
      <alignment horizontal="center"/>
    </xf>
    <xf numFmtId="9" fontId="16" fillId="2" borderId="0" xfId="0" applyFont="1" applyFill="1"/>
    <xf numFmtId="9" fontId="16" fillId="0" borderId="0" xfId="0" applyFont="1"/>
    <xf numFmtId="164" fontId="17" fillId="2" borderId="0" xfId="1" applyNumberFormat="1" applyFont="1" applyFill="1" applyAlignment="1">
      <alignment horizontal="right"/>
    </xf>
    <xf numFmtId="9" fontId="18" fillId="2" borderId="0" xfId="0" applyFont="1" applyFill="1"/>
    <xf numFmtId="9" fontId="18" fillId="0" borderId="0" xfId="0" applyFont="1"/>
    <xf numFmtId="9" fontId="6" fillId="2" borderId="0" xfId="0" applyNumberFormat="1" applyFont="1" applyFill="1" applyBorder="1" applyAlignment="1">
      <alignment horizontal="right"/>
    </xf>
    <xf numFmtId="9" fontId="6" fillId="2" borderId="0" xfId="0" applyNumberFormat="1" applyFont="1" applyFill="1" applyAlignment="1">
      <alignment horizontal="right"/>
    </xf>
    <xf numFmtId="37" fontId="17" fillId="2" borderId="0" xfId="1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37" fontId="17" fillId="2" borderId="0" xfId="1" applyNumberFormat="1" applyFont="1" applyFill="1" applyAlignment="1">
      <alignment horizontal="right"/>
    </xf>
    <xf numFmtId="1" fontId="17" fillId="2" borderId="0" xfId="0" applyNumberFormat="1" applyFont="1" applyFill="1"/>
    <xf numFmtId="1" fontId="17" fillId="2" borderId="0" xfId="0" applyNumberFormat="1" applyFont="1" applyFill="1" applyAlignment="1">
      <alignment horizontal="center"/>
    </xf>
    <xf numFmtId="9" fontId="19" fillId="2" borderId="0" xfId="0" applyFont="1" applyFill="1"/>
    <xf numFmtId="9" fontId="20" fillId="0" borderId="0" xfId="0" applyFont="1"/>
    <xf numFmtId="9" fontId="22" fillId="0" borderId="0" xfId="0" applyFont="1"/>
    <xf numFmtId="9" fontId="21" fillId="0" borderId="0" xfId="0" applyFont="1"/>
    <xf numFmtId="9" fontId="22" fillId="2" borderId="0" xfId="0" applyFont="1" applyFill="1"/>
    <xf numFmtId="9" fontId="8" fillId="2" borderId="0" xfId="0" applyFont="1" applyFill="1"/>
    <xf numFmtId="9" fontId="16" fillId="2" borderId="0" xfId="0" applyFont="1" applyFill="1" applyAlignment="1">
      <alignment horizontal="center"/>
    </xf>
    <xf numFmtId="40" fontId="17" fillId="2" borderId="0" xfId="1" applyFont="1" applyFill="1" applyAlignment="1">
      <alignment horizontal="center"/>
    </xf>
    <xf numFmtId="2" fontId="17" fillId="2" borderId="0" xfId="3" applyNumberFormat="1" applyFont="1" applyFill="1" applyAlignment="1">
      <alignment horizontal="center"/>
    </xf>
    <xf numFmtId="9" fontId="23" fillId="2" borderId="0" xfId="0" applyFont="1" applyFill="1"/>
    <xf numFmtId="9" fontId="24" fillId="2" borderId="0" xfId="0" applyFont="1" applyFill="1"/>
    <xf numFmtId="9" fontId="24" fillId="2" borderId="0" xfId="0" applyFont="1" applyFill="1" applyAlignment="1">
      <alignment horizontal="center"/>
    </xf>
    <xf numFmtId="9" fontId="24" fillId="0" borderId="0" xfId="0" applyFont="1"/>
    <xf numFmtId="1" fontId="24" fillId="0" borderId="0" xfId="0" applyNumberFormat="1" applyFont="1"/>
    <xf numFmtId="1" fontId="24" fillId="0" borderId="0" xfId="0" applyNumberFormat="1" applyFont="1" applyBorder="1"/>
    <xf numFmtId="9" fontId="23" fillId="2" borderId="0" xfId="0" quotePrefix="1" applyFont="1" applyFill="1" applyAlignment="1">
      <alignment horizontal="left"/>
    </xf>
    <xf numFmtId="9" fontId="25" fillId="2" borderId="0" xfId="0" quotePrefix="1" applyFont="1" applyFill="1" applyAlignment="1">
      <alignment horizontal="left"/>
    </xf>
    <xf numFmtId="9" fontId="26" fillId="0" borderId="0" xfId="0" applyFont="1"/>
    <xf numFmtId="9" fontId="8" fillId="0" borderId="0" xfId="0" applyFont="1" applyAlignment="1">
      <alignment horizontal="right"/>
    </xf>
    <xf numFmtId="9" fontId="8" fillId="2" borderId="0" xfId="0" applyFont="1" applyFill="1" applyAlignment="1">
      <alignment horizontal="center"/>
    </xf>
    <xf numFmtId="9" fontId="8" fillId="2" borderId="0" xfId="0" applyFont="1" applyFill="1" applyAlignment="1">
      <alignment horizontal="right"/>
    </xf>
    <xf numFmtId="9" fontId="24" fillId="0" borderId="0" xfId="0" quotePrefix="1" applyFont="1" applyAlignment="1">
      <alignment horizontal="left"/>
    </xf>
    <xf numFmtId="9" fontId="4" fillId="2" borderId="0" xfId="0" applyFont="1" applyFill="1" applyAlignment="1">
      <alignment horizontal="left"/>
    </xf>
    <xf numFmtId="9" fontId="8" fillId="0" borderId="0" xfId="0" applyFont="1"/>
    <xf numFmtId="9" fontId="4" fillId="3" borderId="2" xfId="0" quotePrefix="1" applyFont="1" applyFill="1" applyBorder="1" applyAlignment="1">
      <alignment horizontal="left"/>
    </xf>
    <xf numFmtId="9" fontId="2" fillId="3" borderId="3" xfId="0" applyFont="1" applyFill="1" applyBorder="1"/>
    <xf numFmtId="9" fontId="4" fillId="3" borderId="3" xfId="0" applyFont="1" applyFill="1" applyBorder="1"/>
    <xf numFmtId="9" fontId="16" fillId="3" borderId="3" xfId="0" applyFont="1" applyFill="1" applyBorder="1"/>
    <xf numFmtId="9" fontId="4" fillId="3" borderId="3" xfId="0" applyFont="1" applyFill="1" applyBorder="1" applyAlignment="1">
      <alignment horizontal="center"/>
    </xf>
    <xf numFmtId="9" fontId="14" fillId="3" borderId="3" xfId="0" applyFont="1" applyFill="1" applyBorder="1"/>
    <xf numFmtId="9" fontId="16" fillId="3" borderId="4" xfId="0" applyFont="1" applyFill="1" applyBorder="1"/>
    <xf numFmtId="9" fontId="4" fillId="3" borderId="5" xfId="0" applyFont="1" applyFill="1" applyBorder="1"/>
    <xf numFmtId="9" fontId="2" fillId="3" borderId="0" xfId="0" applyFont="1" applyFill="1" applyBorder="1"/>
    <xf numFmtId="9" fontId="4" fillId="3" borderId="0" xfId="0" applyFont="1" applyFill="1" applyBorder="1"/>
    <xf numFmtId="9" fontId="4" fillId="3" borderId="0" xfId="0" applyFont="1" applyFill="1" applyBorder="1" applyAlignment="1">
      <alignment horizontal="center"/>
    </xf>
    <xf numFmtId="9" fontId="21" fillId="3" borderId="0" xfId="0" applyFont="1" applyFill="1" applyBorder="1" applyAlignment="1">
      <alignment horizontal="left"/>
    </xf>
    <xf numFmtId="9" fontId="14" fillId="3" borderId="0" xfId="0" applyFont="1" applyFill="1" applyBorder="1"/>
    <xf numFmtId="9" fontId="16" fillId="3" borderId="6" xfId="0" applyFont="1" applyFill="1" applyBorder="1"/>
    <xf numFmtId="40" fontId="17" fillId="3" borderId="0" xfId="1" applyFont="1" applyFill="1" applyBorder="1" applyAlignment="1">
      <alignment horizontal="center"/>
    </xf>
    <xf numFmtId="9" fontId="21" fillId="3" borderId="0" xfId="0" applyFont="1" applyFill="1" applyBorder="1"/>
    <xf numFmtId="2" fontId="17" fillId="3" borderId="0" xfId="3" applyNumberFormat="1" applyFont="1" applyFill="1" applyBorder="1" applyAlignment="1">
      <alignment horizontal="center"/>
    </xf>
    <xf numFmtId="9" fontId="4" fillId="3" borderId="7" xfId="0" applyFont="1" applyFill="1" applyBorder="1"/>
    <xf numFmtId="9" fontId="2" fillId="3" borderId="8" xfId="0" applyFont="1" applyFill="1" applyBorder="1"/>
    <xf numFmtId="9" fontId="4" fillId="3" borderId="8" xfId="0" applyFont="1" applyFill="1" applyBorder="1"/>
    <xf numFmtId="40" fontId="17" fillId="3" borderId="8" xfId="1" applyFont="1" applyFill="1" applyBorder="1" applyAlignment="1">
      <alignment horizontal="center"/>
    </xf>
    <xf numFmtId="9" fontId="21" fillId="3" borderId="8" xfId="0" applyFont="1" applyFill="1" applyBorder="1"/>
    <xf numFmtId="9" fontId="16" fillId="3" borderId="9" xfId="0" applyFont="1" applyFill="1" applyBorder="1"/>
    <xf numFmtId="164" fontId="4" fillId="3" borderId="8" xfId="0" applyNumberFormat="1" applyFont="1" applyFill="1" applyBorder="1" applyAlignment="1">
      <alignment horizontal="right"/>
    </xf>
    <xf numFmtId="37" fontId="17" fillId="3" borderId="8" xfId="1" applyNumberFormat="1" applyFont="1" applyFill="1" applyBorder="1" applyAlignment="1">
      <alignment horizontal="center"/>
    </xf>
    <xf numFmtId="37" fontId="27" fillId="2" borderId="1" xfId="1" applyNumberFormat="1" applyFont="1" applyFill="1" applyBorder="1" applyAlignment="1">
      <alignment horizontal="right"/>
    </xf>
    <xf numFmtId="37" fontId="2" fillId="2" borderId="10" xfId="0" applyNumberFormat="1" applyFont="1" applyFill="1" applyBorder="1"/>
    <xf numFmtId="9" fontId="28" fillId="0" borderId="0" xfId="0" applyFont="1"/>
    <xf numFmtId="9" fontId="2" fillId="2" borderId="0" xfId="0" applyFont="1" applyFill="1" applyAlignment="1">
      <alignment horizontal="left"/>
    </xf>
    <xf numFmtId="165" fontId="21" fillId="0" borderId="0" xfId="0" applyNumberFormat="1" applyFont="1"/>
    <xf numFmtId="0" fontId="17" fillId="2" borderId="0" xfId="1" applyNumberFormat="1" applyFont="1" applyFill="1" applyAlignment="1">
      <alignment horizontal="right"/>
    </xf>
    <xf numFmtId="9" fontId="4" fillId="2" borderId="11" xfId="0" applyFont="1" applyFill="1" applyBorder="1" applyAlignment="1">
      <alignment horizontal="left"/>
    </xf>
    <xf numFmtId="9" fontId="2" fillId="2" borderId="12" xfId="0" applyFont="1" applyFill="1" applyBorder="1"/>
    <xf numFmtId="9" fontId="0" fillId="2" borderId="12" xfId="0" applyFill="1" applyBorder="1"/>
    <xf numFmtId="164" fontId="4" fillId="2" borderId="12" xfId="0" applyNumberFormat="1" applyFont="1" applyFill="1" applyBorder="1"/>
    <xf numFmtId="164" fontId="4" fillId="2" borderId="13" xfId="0" applyNumberFormat="1" applyFont="1" applyFill="1" applyBorder="1"/>
    <xf numFmtId="9" fontId="4" fillId="2" borderId="14" xfId="0" applyFont="1" applyFill="1" applyBorder="1" applyAlignment="1">
      <alignment horizontal="left"/>
    </xf>
    <xf numFmtId="9" fontId="0" fillId="2" borderId="0" xfId="0" applyFill="1" applyBorder="1"/>
    <xf numFmtId="164" fontId="4" fillId="2" borderId="15" xfId="0" applyNumberFormat="1" applyFont="1" applyFill="1" applyBorder="1"/>
    <xf numFmtId="9" fontId="4" fillId="2" borderId="14" xfId="0" quotePrefix="1" applyFont="1" applyFill="1" applyBorder="1" applyAlignment="1">
      <alignment horizontal="left"/>
    </xf>
    <xf numFmtId="9" fontId="4" fillId="2" borderId="14" xfId="0" applyFont="1" applyFill="1" applyBorder="1"/>
    <xf numFmtId="37" fontId="2" fillId="2" borderId="0" xfId="2" applyNumberFormat="1" applyFont="1" applyFill="1" applyBorder="1"/>
    <xf numFmtId="37" fontId="2" fillId="2" borderId="15" xfId="2" applyNumberFormat="1" applyFont="1" applyFill="1" applyBorder="1"/>
    <xf numFmtId="40" fontId="3" fillId="2" borderId="0" xfId="1" applyFont="1" applyFill="1" applyBorder="1"/>
    <xf numFmtId="37" fontId="2" fillId="2" borderId="16" xfId="0" applyNumberFormat="1" applyFont="1" applyFill="1" applyBorder="1"/>
    <xf numFmtId="9" fontId="2" fillId="2" borderId="14" xfId="0" applyFont="1" applyFill="1" applyBorder="1"/>
    <xf numFmtId="9" fontId="4" fillId="2" borderId="17" xfId="0" applyFont="1" applyFill="1" applyBorder="1"/>
    <xf numFmtId="9" fontId="2" fillId="2" borderId="18" xfId="0" applyFont="1" applyFill="1" applyBorder="1"/>
    <xf numFmtId="40" fontId="3" fillId="2" borderId="18" xfId="1" applyFont="1" applyFill="1" applyBorder="1"/>
    <xf numFmtId="164" fontId="2" fillId="2" borderId="18" xfId="0" applyNumberFormat="1" applyFont="1" applyFill="1" applyBorder="1"/>
    <xf numFmtId="6" fontId="4" fillId="2" borderId="11" xfId="2" applyFont="1" applyFill="1" applyBorder="1"/>
    <xf numFmtId="9" fontId="0" fillId="0" borderId="12" xfId="0" applyBorder="1"/>
    <xf numFmtId="9" fontId="0" fillId="0" borderId="14" xfId="0" applyBorder="1"/>
    <xf numFmtId="9" fontId="4" fillId="2" borderId="0" xfId="0" applyFont="1" applyFill="1" applyBorder="1" applyAlignment="1">
      <alignment horizontal="center"/>
    </xf>
    <xf numFmtId="40" fontId="3" fillId="2" borderId="0" xfId="1" applyFont="1" applyFill="1" applyBorder="1" applyAlignment="1">
      <alignment horizontal="right"/>
    </xf>
    <xf numFmtId="9" fontId="2" fillId="2" borderId="15" xfId="0" applyFont="1" applyFill="1" applyBorder="1"/>
    <xf numFmtId="9" fontId="2" fillId="2" borderId="0" xfId="0" applyNumberFormat="1" applyFont="1" applyFill="1" applyBorder="1"/>
    <xf numFmtId="9" fontId="3" fillId="2" borderId="0" xfId="0" applyNumberFormat="1" applyFont="1" applyFill="1" applyBorder="1"/>
    <xf numFmtId="3" fontId="5" fillId="2" borderId="0" xfId="1" applyNumberFormat="1" applyFont="1" applyFill="1" applyBorder="1"/>
    <xf numFmtId="3" fontId="5" fillId="2" borderId="15" xfId="1" applyNumberFormat="1" applyFont="1" applyFill="1" applyBorder="1"/>
    <xf numFmtId="9" fontId="2" fillId="2" borderId="0" xfId="0" quotePrefix="1" applyFont="1" applyFill="1" applyBorder="1" applyAlignment="1">
      <alignment horizontal="left"/>
    </xf>
    <xf numFmtId="37" fontId="2" fillId="2" borderId="0" xfId="1" applyNumberFormat="1" applyFont="1" applyFill="1" applyBorder="1"/>
    <xf numFmtId="37" fontId="3" fillId="2" borderId="0" xfId="1" applyNumberFormat="1" applyFont="1" applyFill="1" applyBorder="1"/>
    <xf numFmtId="3" fontId="2" fillId="2" borderId="0" xfId="2" applyNumberFormat="1" applyFont="1" applyFill="1" applyBorder="1"/>
    <xf numFmtId="3" fontId="2" fillId="2" borderId="15" xfId="2" applyNumberFormat="1" applyFont="1" applyFill="1" applyBorder="1"/>
    <xf numFmtId="6" fontId="3" fillId="2" borderId="0" xfId="2" applyFont="1" applyFill="1" applyBorder="1"/>
    <xf numFmtId="9" fontId="2" fillId="2" borderId="0" xfId="0" applyFont="1" applyFill="1" applyBorder="1" applyAlignment="1"/>
    <xf numFmtId="37" fontId="2" fillId="2" borderId="15" xfId="0" applyNumberFormat="1" applyFont="1" applyFill="1" applyBorder="1"/>
    <xf numFmtId="37" fontId="2" fillId="2" borderId="19" xfId="0" applyNumberFormat="1" applyFont="1" applyFill="1" applyBorder="1"/>
    <xf numFmtId="164" fontId="2" fillId="0" borderId="0" xfId="0" applyNumberFormat="1" applyFont="1" applyFill="1" applyBorder="1"/>
    <xf numFmtId="1" fontId="2" fillId="0" borderId="0" xfId="0" applyNumberFormat="1" applyFont="1" applyBorder="1"/>
    <xf numFmtId="2" fontId="15" fillId="0" borderId="0" xfId="0" applyNumberFormat="1" applyFont="1" applyBorder="1"/>
    <xf numFmtId="9" fontId="4" fillId="0" borderId="0" xfId="0" applyFont="1" applyBorder="1"/>
    <xf numFmtId="9" fontId="19" fillId="0" borderId="0" xfId="0" applyFont="1" applyBorder="1"/>
    <xf numFmtId="9" fontId="4" fillId="2" borderId="2" xfId="0" applyFont="1" applyFill="1" applyBorder="1"/>
    <xf numFmtId="9" fontId="2" fillId="2" borderId="3" xfId="0" applyFont="1" applyFill="1" applyBorder="1"/>
    <xf numFmtId="9" fontId="0" fillId="2" borderId="3" xfId="0" applyFill="1" applyBorder="1"/>
    <xf numFmtId="164" fontId="2" fillId="2" borderId="3" xfId="0" applyNumberFormat="1" applyFont="1" applyFill="1" applyBorder="1"/>
    <xf numFmtId="37" fontId="2" fillId="2" borderId="3" xfId="0" applyNumberFormat="1" applyFont="1" applyFill="1" applyBorder="1"/>
    <xf numFmtId="37" fontId="2" fillId="2" borderId="4" xfId="0" applyNumberFormat="1" applyFont="1" applyFill="1" applyBorder="1"/>
    <xf numFmtId="9" fontId="4" fillId="2" borderId="5" xfId="0" applyFont="1" applyFill="1" applyBorder="1"/>
    <xf numFmtId="37" fontId="2" fillId="2" borderId="6" xfId="0" applyNumberFormat="1" applyFont="1" applyFill="1" applyBorder="1"/>
    <xf numFmtId="9" fontId="4" fillId="0" borderId="5" xfId="0" applyFont="1" applyFill="1" applyBorder="1"/>
    <xf numFmtId="37" fontId="2" fillId="2" borderId="20" xfId="0" applyNumberFormat="1" applyFont="1" applyFill="1" applyBorder="1"/>
    <xf numFmtId="9" fontId="2" fillId="0" borderId="6" xfId="0" applyFont="1" applyFill="1" applyBorder="1"/>
    <xf numFmtId="9" fontId="4" fillId="0" borderId="5" xfId="0" applyFont="1" applyBorder="1"/>
    <xf numFmtId="1" fontId="2" fillId="0" borderId="6" xfId="0" applyNumberFormat="1" applyFont="1" applyBorder="1"/>
    <xf numFmtId="9" fontId="2" fillId="0" borderId="6" xfId="0" applyFont="1" applyBorder="1"/>
    <xf numFmtId="9" fontId="4" fillId="0" borderId="7" xfId="0" quotePrefix="1" applyFont="1" applyBorder="1" applyAlignment="1">
      <alignment horizontal="left"/>
    </xf>
    <xf numFmtId="9" fontId="2" fillId="0" borderId="8" xfId="0" applyFont="1" applyBorder="1"/>
    <xf numFmtId="9" fontId="15" fillId="0" borderId="8" xfId="0" applyFont="1" applyBorder="1"/>
    <xf numFmtId="9" fontId="2" fillId="0" borderId="9" xfId="0" applyFont="1" applyBorder="1"/>
    <xf numFmtId="9" fontId="4" fillId="4" borderId="2" xfId="0" quotePrefix="1" applyFont="1" applyFill="1" applyBorder="1" applyAlignment="1">
      <alignment horizontal="left"/>
    </xf>
    <xf numFmtId="9" fontId="2" fillId="4" borderId="3" xfId="0" applyFont="1" applyFill="1" applyBorder="1"/>
    <xf numFmtId="9" fontId="4" fillId="4" borderId="3" xfId="0" applyFont="1" applyFill="1" applyBorder="1"/>
    <xf numFmtId="9" fontId="16" fillId="4" borderId="3" xfId="0" applyFont="1" applyFill="1" applyBorder="1"/>
    <xf numFmtId="9" fontId="4" fillId="4" borderId="3" xfId="0" applyFont="1" applyFill="1" applyBorder="1" applyAlignment="1">
      <alignment horizontal="center"/>
    </xf>
    <xf numFmtId="9" fontId="14" fillId="4" borderId="3" xfId="0" applyFont="1" applyFill="1" applyBorder="1"/>
    <xf numFmtId="9" fontId="16" fillId="4" borderId="4" xfId="0" applyFont="1" applyFill="1" applyBorder="1"/>
    <xf numFmtId="9" fontId="4" fillId="4" borderId="5" xfId="0" applyFont="1" applyFill="1" applyBorder="1"/>
    <xf numFmtId="9" fontId="2" fillId="4" borderId="0" xfId="0" applyFont="1" applyFill="1" applyBorder="1"/>
    <xf numFmtId="9" fontId="4" fillId="4" borderId="0" xfId="0" applyFont="1" applyFill="1" applyBorder="1"/>
    <xf numFmtId="9" fontId="4" fillId="4" borderId="0" xfId="0" applyFont="1" applyFill="1" applyBorder="1" applyAlignment="1">
      <alignment horizontal="center"/>
    </xf>
    <xf numFmtId="9" fontId="21" fillId="4" borderId="0" xfId="0" applyFont="1" applyFill="1" applyBorder="1" applyAlignment="1">
      <alignment horizontal="left"/>
    </xf>
    <xf numFmtId="9" fontId="14" fillId="4" borderId="0" xfId="0" applyFont="1" applyFill="1" applyBorder="1"/>
    <xf numFmtId="9" fontId="16" fillId="4" borderId="6" xfId="0" applyFont="1" applyFill="1" applyBorder="1"/>
    <xf numFmtId="40" fontId="17" fillId="4" borderId="0" xfId="1" applyFont="1" applyFill="1" applyBorder="1" applyAlignment="1">
      <alignment horizontal="center"/>
    </xf>
    <xf numFmtId="9" fontId="21" fillId="4" borderId="0" xfId="0" applyFont="1" applyFill="1" applyBorder="1"/>
    <xf numFmtId="2" fontId="17" fillId="4" borderId="0" xfId="3" applyNumberFormat="1" applyFont="1" applyFill="1" applyBorder="1" applyAlignment="1">
      <alignment horizontal="center"/>
    </xf>
    <xf numFmtId="9" fontId="22" fillId="4" borderId="6" xfId="0" applyFont="1" applyFill="1" applyBorder="1"/>
    <xf numFmtId="9" fontId="4" fillId="4" borderId="7" xfId="0" applyFont="1" applyFill="1" applyBorder="1"/>
    <xf numFmtId="9" fontId="2" fillId="4" borderId="8" xfId="0" applyFont="1" applyFill="1" applyBorder="1"/>
    <xf numFmtId="9" fontId="4" fillId="4" borderId="8" xfId="0" applyFont="1" applyFill="1" applyBorder="1"/>
    <xf numFmtId="40" fontId="17" fillId="4" borderId="8" xfId="1" applyFont="1" applyFill="1" applyBorder="1" applyAlignment="1">
      <alignment horizontal="center"/>
    </xf>
    <xf numFmtId="9" fontId="21" fillId="4" borderId="8" xfId="0" applyFont="1" applyFill="1" applyBorder="1"/>
    <xf numFmtId="2" fontId="17" fillId="4" borderId="8" xfId="3" applyNumberFormat="1" applyFont="1" applyFill="1" applyBorder="1" applyAlignment="1">
      <alignment horizontal="center"/>
    </xf>
    <xf numFmtId="9" fontId="22" fillId="4" borderId="9" xfId="0" applyFont="1" applyFill="1" applyBorder="1"/>
    <xf numFmtId="9" fontId="4" fillId="5" borderId="2" xfId="0" applyFont="1" applyFill="1" applyBorder="1"/>
    <xf numFmtId="9" fontId="2" fillId="5" borderId="3" xfId="0" applyFont="1" applyFill="1" applyBorder="1"/>
    <xf numFmtId="9" fontId="4" fillId="5" borderId="3" xfId="0" applyFont="1" applyFill="1" applyBorder="1"/>
    <xf numFmtId="40" fontId="17" fillId="5" borderId="3" xfId="1" applyFont="1" applyFill="1" applyBorder="1" applyAlignment="1">
      <alignment horizontal="center"/>
    </xf>
    <xf numFmtId="9" fontId="21" fillId="5" borderId="3" xfId="0" applyFont="1" applyFill="1" applyBorder="1"/>
    <xf numFmtId="2" fontId="17" fillId="5" borderId="3" xfId="3" applyNumberFormat="1" applyFont="1" applyFill="1" applyBorder="1" applyAlignment="1">
      <alignment horizontal="center"/>
    </xf>
    <xf numFmtId="9" fontId="22" fillId="5" borderId="4" xfId="0" applyFont="1" applyFill="1" applyBorder="1"/>
    <xf numFmtId="9" fontId="4" fillId="5" borderId="5" xfId="0" applyFont="1" applyFill="1" applyBorder="1"/>
    <xf numFmtId="9" fontId="2" fillId="5" borderId="0" xfId="0" applyFont="1" applyFill="1" applyBorder="1"/>
    <xf numFmtId="165" fontId="8" fillId="5" borderId="0" xfId="0" applyNumberFormat="1" applyFont="1" applyFill="1" applyBorder="1" applyAlignment="1">
      <alignment horizontal="right"/>
    </xf>
    <xf numFmtId="8" fontId="17" fillId="5" borderId="0" xfId="1" applyNumberFormat="1" applyFont="1" applyFill="1" applyBorder="1" applyAlignment="1">
      <alignment horizontal="center"/>
    </xf>
    <xf numFmtId="9" fontId="21" fillId="5" borderId="0" xfId="0" applyFont="1" applyFill="1" applyBorder="1"/>
    <xf numFmtId="40" fontId="17" fillId="5" borderId="0" xfId="1" applyFont="1" applyFill="1" applyBorder="1" applyAlignment="1">
      <alignment horizontal="center"/>
    </xf>
    <xf numFmtId="2" fontId="17" fillId="5" borderId="0" xfId="3" applyNumberFormat="1" applyFont="1" applyFill="1" applyBorder="1" applyAlignment="1">
      <alignment horizontal="center"/>
    </xf>
    <xf numFmtId="9" fontId="22" fillId="5" borderId="6" xfId="0" applyFont="1" applyFill="1" applyBorder="1"/>
    <xf numFmtId="9" fontId="2" fillId="5" borderId="0" xfId="0" applyFont="1" applyFill="1" applyBorder="1" applyAlignment="1">
      <alignment horizontal="right"/>
    </xf>
    <xf numFmtId="8" fontId="30" fillId="5" borderId="0" xfId="1" applyNumberFormat="1" applyFont="1" applyFill="1" applyBorder="1" applyAlignment="1">
      <alignment horizontal="center"/>
    </xf>
    <xf numFmtId="9" fontId="4" fillId="5" borderId="0" xfId="0" applyFont="1" applyFill="1" applyBorder="1"/>
    <xf numFmtId="9" fontId="6" fillId="5" borderId="0" xfId="0" applyNumberFormat="1" applyFont="1" applyFill="1" applyBorder="1" applyAlignment="1">
      <alignment horizontal="right"/>
    </xf>
    <xf numFmtId="0" fontId="21" fillId="5" borderId="0" xfId="0" applyNumberFormat="1" applyFont="1" applyFill="1" applyBorder="1"/>
    <xf numFmtId="1" fontId="21" fillId="5" borderId="0" xfId="0" applyNumberFormat="1" applyFont="1" applyFill="1" applyBorder="1"/>
    <xf numFmtId="9" fontId="4" fillId="5" borderId="7" xfId="0" applyFont="1" applyFill="1" applyBorder="1"/>
    <xf numFmtId="9" fontId="2" fillId="5" borderId="8" xfId="0" applyFont="1" applyFill="1" applyBorder="1"/>
    <xf numFmtId="9" fontId="4" fillId="5" borderId="8" xfId="0" applyFont="1" applyFill="1" applyBorder="1"/>
    <xf numFmtId="9" fontId="21" fillId="5" borderId="8" xfId="0" applyFont="1" applyFill="1" applyBorder="1"/>
    <xf numFmtId="1" fontId="21" fillId="5" borderId="8" xfId="0" applyNumberFormat="1" applyFont="1" applyFill="1" applyBorder="1"/>
    <xf numFmtId="40" fontId="30" fillId="5" borderId="8" xfId="1" applyFont="1" applyFill="1" applyBorder="1" applyAlignment="1">
      <alignment horizontal="center"/>
    </xf>
    <xf numFmtId="2" fontId="17" fillId="5" borderId="8" xfId="3" applyNumberFormat="1" applyFont="1" applyFill="1" applyBorder="1" applyAlignment="1">
      <alignment horizontal="center"/>
    </xf>
    <xf numFmtId="9" fontId="22" fillId="5" borderId="9" xfId="0" applyFont="1" applyFill="1" applyBorder="1"/>
    <xf numFmtId="168" fontId="17" fillId="2" borderId="0" xfId="1" applyNumberFormat="1" applyFont="1" applyFill="1" applyAlignment="1">
      <alignment horizontal="right"/>
    </xf>
    <xf numFmtId="9" fontId="7" fillId="2" borderId="0" xfId="0" applyFont="1" applyFill="1" applyAlignment="1">
      <alignment horizontal="center"/>
    </xf>
  </cellXfs>
  <cellStyles count="4">
    <cellStyle name="Comma" xfId="1" builtinId="3"/>
    <cellStyle name="Currency [0]" xfId="2" builtinId="7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1019175</xdr:colOff>
      <xdr:row>7</xdr:row>
      <xdr:rowOff>152400</xdr:rowOff>
    </xdr:from>
    <xdr:to>
      <xdr:col>8</xdr:col>
      <xdr:colOff>85725</xdr:colOff>
      <xdr:row>8</xdr:row>
      <xdr:rowOff>152400</xdr:rowOff>
    </xdr:to>
    <xdr:sp macro="" textlink="">
      <xdr:nvSpPr>
        <xdr:cNvPr id="2049" name="Text 26"/>
        <xdr:cNvSpPr txBox="1">
          <a:spLocks noChangeArrowheads="1"/>
        </xdr:cNvSpPr>
      </xdr:nvSpPr>
      <xdr:spPr bwMode="auto">
        <a:xfrm>
          <a:off x="1743075" y="1543050"/>
          <a:ext cx="3476625" cy="2286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424242"/>
              </a:solidFill>
              <a:latin typeface="MS Sans Serif"/>
            </a:rPr>
            <a:t> All data in </a:t>
          </a:r>
          <a:r>
            <a:rPr lang="en-US" sz="1000" b="1" i="0" u="none" strike="noStrike" baseline="0">
              <a:solidFill>
                <a:srgbClr val="0000FF"/>
              </a:solidFill>
              <a:latin typeface="MS Sans Serif"/>
            </a:rPr>
            <a:t>blue</a:t>
          </a:r>
          <a:r>
            <a:rPr lang="en-US" sz="1000" b="1" i="0" u="none" strike="noStrike" baseline="0">
              <a:solidFill>
                <a:srgbClr val="424242"/>
              </a:solidFill>
              <a:latin typeface="MS Sans Serif"/>
            </a:rPr>
            <a:t> must be edited by the customer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9</xdr:row>
      <xdr:rowOff>28575</xdr:rowOff>
    </xdr:to>
    <xdr:pic>
      <xdr:nvPicPr>
        <xdr:cNvPr id="1036" name="Picture 3" descr="lg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0"/>
          <a:ext cx="2762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161925</xdr:colOff>
      <xdr:row>6</xdr:row>
      <xdr:rowOff>104775</xdr:rowOff>
    </xdr:to>
    <xdr:pic>
      <xdr:nvPicPr>
        <xdr:cNvPr id="2054" name="Picture 2" descr="lg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2762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showGridLines="0" tabSelected="1" workbookViewId="0">
      <selection activeCell="I3" sqref="I3"/>
    </sheetView>
  </sheetViews>
  <sheetFormatPr defaultRowHeight="12.75"/>
  <cols>
    <col min="1" max="1" width="4.42578125" customWidth="1"/>
    <col min="2" max="2" width="6.42578125" customWidth="1"/>
    <col min="3" max="3" width="25.140625" customWidth="1"/>
    <col min="4" max="4" width="6.7109375" customWidth="1"/>
    <col min="5" max="5" width="6.85546875" style="18" customWidth="1"/>
    <col min="6" max="6" width="11.140625" bestFit="1" customWidth="1"/>
  </cols>
  <sheetData>
    <row r="1" spans="1:10" ht="26.25">
      <c r="A1" s="4"/>
      <c r="B1" s="9"/>
      <c r="C1" s="4"/>
      <c r="E1" s="9"/>
      <c r="F1" s="15"/>
      <c r="G1" s="9"/>
      <c r="H1" s="9"/>
    </row>
    <row r="2" spans="1:10">
      <c r="A2" s="9"/>
      <c r="B2" s="9"/>
      <c r="C2" s="9"/>
      <c r="E2" s="4"/>
      <c r="F2" s="21"/>
      <c r="G2" s="4"/>
      <c r="H2" s="4"/>
    </row>
    <row r="3" spans="1:10" ht="18">
      <c r="A3" s="9"/>
      <c r="B3" s="20"/>
      <c r="C3" s="9"/>
      <c r="D3" s="4"/>
      <c r="E3" s="4"/>
      <c r="F3" s="14" t="s">
        <v>81</v>
      </c>
      <c r="G3" s="4"/>
      <c r="H3" s="4"/>
    </row>
    <row r="4" spans="1:10" ht="7.5" customHeight="1">
      <c r="A4" s="9"/>
      <c r="B4" s="20"/>
      <c r="C4" s="9"/>
      <c r="D4" s="4"/>
      <c r="E4" s="4"/>
      <c r="F4" s="4"/>
      <c r="G4" s="4"/>
      <c r="H4" s="4"/>
    </row>
    <row r="5" spans="1:10" ht="18">
      <c r="A5" s="9"/>
      <c r="B5" s="21"/>
      <c r="C5" s="9"/>
      <c r="E5" s="4"/>
      <c r="F5" s="14" t="s">
        <v>37</v>
      </c>
      <c r="G5" s="4"/>
      <c r="H5" s="4"/>
    </row>
    <row r="6" spans="1:10" ht="11.25" customHeight="1">
      <c r="A6" s="9"/>
      <c r="B6" s="21"/>
      <c r="C6" s="9"/>
      <c r="D6" s="14"/>
      <c r="E6" s="4"/>
      <c r="F6" s="4"/>
      <c r="G6" s="4"/>
      <c r="H6" s="4"/>
    </row>
    <row r="7" spans="1:10" ht="18">
      <c r="A7" s="9"/>
      <c r="B7" s="20"/>
      <c r="C7" s="9"/>
      <c r="E7" s="9"/>
      <c r="F7" s="14" t="s">
        <v>0</v>
      </c>
      <c r="G7" s="4"/>
      <c r="H7" s="4"/>
    </row>
    <row r="8" spans="1:10" ht="18">
      <c r="A8" s="9"/>
      <c r="B8" s="20"/>
      <c r="C8" s="9"/>
      <c r="D8" s="14"/>
      <c r="E8" s="9"/>
      <c r="F8" s="4"/>
      <c r="G8" s="4"/>
      <c r="H8" s="4"/>
    </row>
    <row r="9" spans="1:10" ht="33" customHeight="1">
      <c r="A9" s="9"/>
      <c r="B9" s="20"/>
      <c r="C9" s="9"/>
      <c r="D9" s="14"/>
      <c r="E9" s="9"/>
      <c r="F9" s="4"/>
      <c r="G9" s="4"/>
      <c r="H9" s="4"/>
    </row>
    <row r="10" spans="1:10" ht="20.25" customHeight="1">
      <c r="A10" s="19"/>
      <c r="B10" s="3" t="s">
        <v>1</v>
      </c>
      <c r="C10" s="4"/>
      <c r="D10" s="4"/>
      <c r="E10" s="35"/>
      <c r="F10" s="36"/>
      <c r="G10" s="36"/>
      <c r="H10" s="36"/>
      <c r="I10" s="37"/>
      <c r="J10" s="37"/>
    </row>
    <row r="11" spans="1:10">
      <c r="A11" s="9"/>
      <c r="B11" s="3"/>
      <c r="C11" s="4" t="s">
        <v>2</v>
      </c>
      <c r="D11" s="4"/>
      <c r="E11" s="38">
        <f ca="1">NOW()</f>
        <v>40532.407504166666</v>
      </c>
      <c r="F11" s="39"/>
      <c r="G11" s="39"/>
      <c r="H11" s="39"/>
      <c r="I11" s="40"/>
      <c r="J11" s="40"/>
    </row>
    <row r="12" spans="1:10">
      <c r="A12" s="9"/>
      <c r="B12" s="3"/>
      <c r="C12" s="4" t="s">
        <v>66</v>
      </c>
      <c r="D12" s="4"/>
      <c r="E12" s="102">
        <v>10</v>
      </c>
      <c r="F12" s="39"/>
      <c r="G12" s="39"/>
      <c r="H12" s="39"/>
      <c r="I12" s="40"/>
      <c r="J12" s="40"/>
    </row>
    <row r="13" spans="1:10">
      <c r="A13" s="9"/>
      <c r="B13" s="3"/>
      <c r="C13" s="4" t="s">
        <v>3</v>
      </c>
      <c r="D13" s="4"/>
      <c r="E13" s="41">
        <v>0.02</v>
      </c>
      <c r="F13" s="36"/>
      <c r="G13" s="36"/>
      <c r="H13" s="36"/>
      <c r="I13" s="37"/>
      <c r="J13" s="37"/>
    </row>
    <row r="14" spans="1:10">
      <c r="A14" s="9"/>
      <c r="B14" s="3"/>
      <c r="C14" s="4" t="s">
        <v>4</v>
      </c>
      <c r="D14" s="4"/>
      <c r="E14" s="42">
        <v>0.03</v>
      </c>
      <c r="F14" s="36"/>
      <c r="G14" s="36"/>
      <c r="H14" s="36"/>
      <c r="I14" s="37"/>
      <c r="J14" s="37"/>
    </row>
    <row r="15" spans="1:10">
      <c r="A15" s="9"/>
      <c r="B15" s="3"/>
      <c r="C15" s="4" t="s">
        <v>5</v>
      </c>
      <c r="D15" s="4"/>
      <c r="E15" s="43" t="s">
        <v>31</v>
      </c>
      <c r="F15" s="36"/>
      <c r="G15" s="36"/>
      <c r="H15" s="36"/>
      <c r="I15" s="37"/>
      <c r="J15" s="37"/>
    </row>
    <row r="16" spans="1:10">
      <c r="A16" s="9"/>
      <c r="B16" s="3"/>
      <c r="C16" s="4"/>
      <c r="D16" s="4"/>
      <c r="E16" s="42"/>
      <c r="F16" s="36"/>
      <c r="G16" s="36"/>
      <c r="H16" s="36"/>
      <c r="I16" s="37"/>
      <c r="J16" s="37"/>
    </row>
    <row r="17" spans="1:10">
      <c r="A17" s="9"/>
      <c r="B17" s="70" t="s">
        <v>69</v>
      </c>
      <c r="C17" s="4"/>
      <c r="D17" s="4"/>
      <c r="E17" s="5"/>
      <c r="F17" s="4"/>
      <c r="G17" s="4"/>
      <c r="H17" s="36"/>
      <c r="I17" s="37"/>
      <c r="J17" s="37"/>
    </row>
    <row r="18" spans="1:10">
      <c r="A18" s="9"/>
      <c r="B18" s="3"/>
      <c r="C18" s="4"/>
      <c r="D18" s="4"/>
      <c r="E18"/>
      <c r="F18" s="4"/>
      <c r="G18" s="4"/>
      <c r="H18" s="36"/>
      <c r="I18" s="37"/>
      <c r="J18" s="37"/>
    </row>
    <row r="19" spans="1:10">
      <c r="A19" s="9"/>
      <c r="B19" s="3"/>
      <c r="C19" s="4" t="s">
        <v>78</v>
      </c>
      <c r="D19" s="4"/>
      <c r="E19" s="45">
        <v>8</v>
      </c>
      <c r="F19" s="4"/>
      <c r="G19" s="4"/>
      <c r="H19" s="36"/>
      <c r="I19" s="37"/>
      <c r="J19" s="37"/>
    </row>
    <row r="20" spans="1:10">
      <c r="A20" s="9"/>
      <c r="B20" s="3"/>
      <c r="C20" s="4" t="s">
        <v>70</v>
      </c>
      <c r="D20" s="66" t="str">
        <f>E15</f>
        <v>$</v>
      </c>
      <c r="E20" s="45">
        <v>18</v>
      </c>
      <c r="F20" s="39"/>
      <c r="G20" s="11"/>
      <c r="H20" s="36"/>
      <c r="I20" s="37"/>
      <c r="J20" s="37"/>
    </row>
    <row r="21" spans="1:10">
      <c r="A21" s="9"/>
      <c r="B21" s="3"/>
      <c r="C21" s="4" t="s">
        <v>6</v>
      </c>
      <c r="D21" s="66" t="str">
        <f>E15</f>
        <v>$</v>
      </c>
      <c r="E21" s="45">
        <v>21</v>
      </c>
      <c r="F21" s="39"/>
      <c r="G21" s="11"/>
      <c r="H21" s="36"/>
      <c r="I21" s="37"/>
      <c r="J21" s="37"/>
    </row>
    <row r="22" spans="1:10">
      <c r="A22" s="9"/>
      <c r="B22" s="3"/>
      <c r="C22" s="4"/>
      <c r="D22" s="44"/>
      <c r="E22" s="45"/>
      <c r="F22" s="39"/>
      <c r="G22" s="11"/>
      <c r="H22" s="36"/>
      <c r="I22" s="37"/>
      <c r="J22" s="37"/>
    </row>
    <row r="23" spans="1:10">
      <c r="A23" s="9"/>
      <c r="B23" s="3" t="s">
        <v>33</v>
      </c>
      <c r="C23" s="4"/>
      <c r="D23" s="3"/>
      <c r="E23" s="7" t="s">
        <v>7</v>
      </c>
      <c r="F23" s="7"/>
      <c r="H23" s="70" t="s">
        <v>34</v>
      </c>
      <c r="I23" s="36"/>
      <c r="J23" s="37"/>
    </row>
    <row r="24" spans="1:10">
      <c r="A24" s="9"/>
      <c r="B24" s="3"/>
      <c r="C24" s="4" t="s">
        <v>49</v>
      </c>
      <c r="D24" s="3"/>
      <c r="E24" s="46">
        <v>12020</v>
      </c>
      <c r="F24" s="46"/>
      <c r="H24" s="47">
        <v>1</v>
      </c>
      <c r="I24" s="48" t="s">
        <v>48</v>
      </c>
      <c r="J24" s="49"/>
    </row>
    <row r="25" spans="1:10">
      <c r="A25" s="9"/>
      <c r="B25" s="3"/>
      <c r="C25" s="4" t="s">
        <v>76</v>
      </c>
      <c r="D25" s="3"/>
      <c r="F25" s="46"/>
      <c r="H25" s="47">
        <v>15</v>
      </c>
      <c r="I25" s="48" t="s">
        <v>77</v>
      </c>
      <c r="J25" s="49"/>
    </row>
    <row r="26" spans="1:10" ht="13.5" thickBot="1">
      <c r="A26" s="9"/>
      <c r="B26" s="52"/>
      <c r="C26" s="52"/>
      <c r="D26" s="53"/>
      <c r="E26" s="54"/>
      <c r="F26" s="36"/>
      <c r="G26" s="36"/>
      <c r="H26" s="36"/>
      <c r="I26" s="33"/>
      <c r="J26" s="37"/>
    </row>
    <row r="27" spans="1:10">
      <c r="A27" s="9"/>
      <c r="B27" s="72" t="s">
        <v>38</v>
      </c>
      <c r="C27" s="73"/>
      <c r="D27" s="74"/>
      <c r="E27" s="75"/>
      <c r="F27" s="76"/>
      <c r="G27" s="75"/>
      <c r="H27" s="75"/>
      <c r="I27" s="77"/>
      <c r="J27" s="78"/>
    </row>
    <row r="28" spans="1:10">
      <c r="A28" s="9"/>
      <c r="B28" s="79"/>
      <c r="C28" s="80"/>
      <c r="D28" s="81"/>
      <c r="E28" s="82" t="s">
        <v>36</v>
      </c>
      <c r="F28" s="80"/>
      <c r="G28" s="82"/>
      <c r="H28" s="83" t="s">
        <v>10</v>
      </c>
      <c r="I28" s="84"/>
      <c r="J28" s="85"/>
    </row>
    <row r="29" spans="1:10">
      <c r="A29" s="9"/>
      <c r="B29" s="79"/>
      <c r="C29" s="80" t="s">
        <v>41</v>
      </c>
      <c r="D29" s="81"/>
      <c r="E29" s="86">
        <v>0.1</v>
      </c>
      <c r="F29" s="87" t="s">
        <v>8</v>
      </c>
      <c r="G29" s="86"/>
      <c r="H29" s="88">
        <v>0</v>
      </c>
      <c r="I29" s="87" t="s">
        <v>8</v>
      </c>
      <c r="J29" s="85"/>
    </row>
    <row r="30" spans="1:10">
      <c r="A30" s="9"/>
      <c r="B30" s="79"/>
      <c r="C30" s="80" t="s">
        <v>42</v>
      </c>
      <c r="D30" s="81"/>
      <c r="E30" s="86">
        <v>0.04</v>
      </c>
      <c r="F30" s="87" t="s">
        <v>8</v>
      </c>
      <c r="G30" s="86"/>
      <c r="H30" s="88">
        <v>0</v>
      </c>
      <c r="I30" s="87" t="s">
        <v>8</v>
      </c>
      <c r="J30" s="85"/>
    </row>
    <row r="31" spans="1:10">
      <c r="A31" s="9"/>
      <c r="B31" s="79"/>
      <c r="C31" s="80" t="s">
        <v>43</v>
      </c>
      <c r="D31" s="81"/>
      <c r="E31" s="86">
        <v>0.02</v>
      </c>
      <c r="F31" s="87" t="s">
        <v>8</v>
      </c>
      <c r="G31" s="86"/>
      <c r="H31" s="88">
        <v>0</v>
      </c>
      <c r="I31" s="87" t="s">
        <v>8</v>
      </c>
      <c r="J31" s="85"/>
    </row>
    <row r="32" spans="1:10">
      <c r="A32" s="9"/>
      <c r="B32" s="79"/>
      <c r="C32" s="80" t="s">
        <v>71</v>
      </c>
      <c r="D32" s="81"/>
      <c r="E32" s="86">
        <v>0.16</v>
      </c>
      <c r="F32" s="87" t="s">
        <v>8</v>
      </c>
      <c r="G32" s="86"/>
      <c r="H32" s="88">
        <v>0.01</v>
      </c>
      <c r="I32" s="87" t="s">
        <v>8</v>
      </c>
      <c r="J32" s="85"/>
    </row>
    <row r="33" spans="1:10">
      <c r="A33" s="9"/>
      <c r="B33" s="79"/>
      <c r="C33" s="80"/>
      <c r="D33" s="81"/>
      <c r="E33" s="86"/>
      <c r="F33" s="87"/>
      <c r="G33" s="86"/>
      <c r="H33" s="88"/>
      <c r="I33" s="87"/>
      <c r="J33" s="85"/>
    </row>
    <row r="34" spans="1:10" ht="13.5" thickBot="1">
      <c r="A34" s="9"/>
      <c r="B34" s="89"/>
      <c r="C34" s="90" t="s">
        <v>67</v>
      </c>
      <c r="D34" s="91"/>
      <c r="E34" s="92"/>
      <c r="F34" s="93"/>
      <c r="G34" s="95" t="str">
        <f>E15</f>
        <v>$</v>
      </c>
      <c r="H34" s="96">
        <v>1350</v>
      </c>
      <c r="I34" s="93" t="s">
        <v>11</v>
      </c>
      <c r="J34" s="94"/>
    </row>
    <row r="35" spans="1:10" ht="13.5" thickBot="1">
      <c r="A35" s="9"/>
      <c r="B35" s="3"/>
      <c r="C35" s="4"/>
      <c r="D35" s="3"/>
      <c r="E35" s="55"/>
      <c r="F35" s="51"/>
      <c r="G35" s="55"/>
      <c r="H35" s="56"/>
      <c r="I35" s="51"/>
      <c r="J35" s="37"/>
    </row>
    <row r="36" spans="1:10">
      <c r="A36" s="9"/>
      <c r="B36" s="164" t="s">
        <v>39</v>
      </c>
      <c r="C36" s="165"/>
      <c r="D36" s="166"/>
      <c r="E36" s="167"/>
      <c r="F36" s="168"/>
      <c r="G36" s="167"/>
      <c r="H36" s="167"/>
      <c r="I36" s="169"/>
      <c r="J36" s="170"/>
    </row>
    <row r="37" spans="1:10">
      <c r="A37" s="9"/>
      <c r="B37" s="171"/>
      <c r="C37" s="172"/>
      <c r="D37" s="173"/>
      <c r="E37" s="174" t="s">
        <v>9</v>
      </c>
      <c r="F37" s="172"/>
      <c r="G37" s="174"/>
      <c r="H37" s="175" t="s">
        <v>10</v>
      </c>
      <c r="I37" s="176"/>
      <c r="J37" s="177"/>
    </row>
    <row r="38" spans="1:10">
      <c r="A38" s="9"/>
      <c r="B38" s="171"/>
      <c r="C38" s="172" t="s">
        <v>44</v>
      </c>
      <c r="D38" s="173"/>
      <c r="E38" s="178">
        <v>0.216</v>
      </c>
      <c r="F38" s="179" t="s">
        <v>8</v>
      </c>
      <c r="G38" s="178"/>
      <c r="H38" s="180">
        <v>0</v>
      </c>
      <c r="I38" s="179" t="s">
        <v>8</v>
      </c>
      <c r="J38" s="181"/>
    </row>
    <row r="39" spans="1:10">
      <c r="A39" s="9"/>
      <c r="B39" s="171"/>
      <c r="C39" s="172" t="s">
        <v>45</v>
      </c>
      <c r="D39" s="173"/>
      <c r="E39" s="178">
        <v>0</v>
      </c>
      <c r="F39" s="179" t="s">
        <v>8</v>
      </c>
      <c r="G39" s="178"/>
      <c r="H39" s="180">
        <v>0.05</v>
      </c>
      <c r="I39" s="179" t="s">
        <v>8</v>
      </c>
      <c r="J39" s="181"/>
    </row>
    <row r="40" spans="1:10">
      <c r="A40" s="9"/>
      <c r="B40" s="171"/>
      <c r="C40" s="172"/>
      <c r="D40" s="173"/>
      <c r="E40" s="178">
        <v>0</v>
      </c>
      <c r="F40" s="179" t="s">
        <v>8</v>
      </c>
      <c r="G40" s="178"/>
      <c r="H40" s="180">
        <v>0</v>
      </c>
      <c r="I40" s="179" t="s">
        <v>8</v>
      </c>
      <c r="J40" s="181"/>
    </row>
    <row r="41" spans="1:10" ht="13.5" thickBot="1">
      <c r="A41" s="9"/>
      <c r="B41" s="182"/>
      <c r="C41" s="183"/>
      <c r="D41" s="184"/>
      <c r="E41" s="185">
        <v>0</v>
      </c>
      <c r="F41" s="186" t="s">
        <v>8</v>
      </c>
      <c r="G41" s="185"/>
      <c r="H41" s="187">
        <v>0</v>
      </c>
      <c r="I41" s="186" t="s">
        <v>8</v>
      </c>
      <c r="J41" s="188"/>
    </row>
    <row r="42" spans="1:10" ht="13.5" thickBot="1">
      <c r="A42" s="9"/>
      <c r="B42" s="3"/>
      <c r="C42" s="4"/>
      <c r="D42" s="3"/>
      <c r="E42" s="55"/>
      <c r="F42" s="51"/>
      <c r="G42" s="55"/>
      <c r="H42" s="56"/>
      <c r="I42" s="51"/>
      <c r="J42" s="50"/>
    </row>
    <row r="43" spans="1:10">
      <c r="A43" s="9"/>
      <c r="B43" s="189" t="s">
        <v>52</v>
      </c>
      <c r="C43" s="190"/>
      <c r="D43" s="191"/>
      <c r="E43" s="192"/>
      <c r="F43" s="193"/>
      <c r="G43" s="192"/>
      <c r="H43" s="194"/>
      <c r="I43" s="193"/>
      <c r="J43" s="195"/>
    </row>
    <row r="44" spans="1:10">
      <c r="A44" s="9"/>
      <c r="B44" s="196"/>
      <c r="C44" s="197" t="s">
        <v>53</v>
      </c>
      <c r="D44" s="198"/>
      <c r="E44" s="199">
        <v>32</v>
      </c>
      <c r="F44" s="200"/>
      <c r="G44" s="201"/>
      <c r="H44" s="202"/>
      <c r="I44" s="200"/>
      <c r="J44" s="203"/>
    </row>
    <row r="45" spans="1:10">
      <c r="A45" s="9"/>
      <c r="B45" s="196"/>
      <c r="C45" s="197" t="s">
        <v>55</v>
      </c>
      <c r="D45" s="198"/>
      <c r="E45" s="199">
        <v>12</v>
      </c>
      <c r="F45" s="200"/>
      <c r="G45" s="201"/>
      <c r="H45" s="202"/>
      <c r="I45" s="200"/>
      <c r="J45" s="203"/>
    </row>
    <row r="46" spans="1:10">
      <c r="A46" s="9"/>
      <c r="B46" s="196"/>
      <c r="C46" s="197" t="s">
        <v>68</v>
      </c>
      <c r="D46" s="198"/>
      <c r="E46" s="199">
        <f>E44*0.38</f>
        <v>12.16</v>
      </c>
      <c r="F46" s="200"/>
      <c r="G46" s="201"/>
      <c r="H46" s="202"/>
      <c r="I46" s="200"/>
      <c r="J46" s="203"/>
    </row>
    <row r="47" spans="1:10">
      <c r="A47" s="9"/>
      <c r="B47" s="196"/>
      <c r="C47" s="197" t="s">
        <v>54</v>
      </c>
      <c r="D47" s="198"/>
      <c r="E47" s="199">
        <f>E46*0.28</f>
        <v>3.4048000000000003</v>
      </c>
      <c r="F47" s="200"/>
      <c r="G47" s="201"/>
      <c r="H47" s="202"/>
      <c r="I47" s="200"/>
      <c r="J47" s="203"/>
    </row>
    <row r="48" spans="1:10">
      <c r="A48" s="9"/>
      <c r="B48" s="196"/>
      <c r="C48" s="204" t="s">
        <v>56</v>
      </c>
      <c r="D48" s="198"/>
      <c r="E48" s="205">
        <f>SUM(E44:E47)</f>
        <v>59.564799999999998</v>
      </c>
      <c r="F48" s="200"/>
      <c r="G48" s="201"/>
      <c r="H48" s="202"/>
      <c r="I48" s="200"/>
      <c r="J48" s="203"/>
    </row>
    <row r="49" spans="1:10">
      <c r="A49" s="9"/>
      <c r="B49" s="196"/>
      <c r="C49" s="197"/>
      <c r="D49" s="206"/>
      <c r="E49" s="201"/>
      <c r="F49" s="200"/>
      <c r="G49" s="201"/>
      <c r="H49" s="202"/>
      <c r="I49" s="200"/>
      <c r="J49" s="203"/>
    </row>
    <row r="50" spans="1:10">
      <c r="A50" s="9"/>
      <c r="B50" s="196" t="s">
        <v>59</v>
      </c>
      <c r="C50" s="197"/>
      <c r="D50" s="206"/>
      <c r="E50" s="201"/>
      <c r="F50" s="200"/>
      <c r="G50" s="201"/>
      <c r="H50" s="202"/>
      <c r="I50" s="200"/>
      <c r="J50" s="203"/>
    </row>
    <row r="51" spans="1:10">
      <c r="A51" s="9"/>
      <c r="B51" s="196"/>
      <c r="C51" s="197" t="s">
        <v>50</v>
      </c>
      <c r="D51" s="206"/>
      <c r="E51" s="207">
        <v>0.25</v>
      </c>
      <c r="F51" s="208">
        <f>E51*E24</f>
        <v>3005</v>
      </c>
      <c r="G51" s="201"/>
      <c r="H51" s="202"/>
      <c r="I51" s="200"/>
      <c r="J51" s="203"/>
    </row>
    <row r="52" spans="1:10">
      <c r="A52" s="9"/>
      <c r="B52" s="196"/>
      <c r="C52" s="197" t="s">
        <v>51</v>
      </c>
      <c r="D52" s="206"/>
      <c r="E52" s="207">
        <v>0.05</v>
      </c>
      <c r="F52" s="208">
        <f>E52*E24</f>
        <v>601</v>
      </c>
      <c r="G52" s="201"/>
      <c r="H52" s="202"/>
      <c r="I52" s="200"/>
      <c r="J52" s="203"/>
    </row>
    <row r="53" spans="1:10">
      <c r="A53" s="9"/>
      <c r="B53" s="196"/>
      <c r="C53" s="197" t="s">
        <v>73</v>
      </c>
      <c r="D53" s="206"/>
      <c r="E53" s="207">
        <v>0.23</v>
      </c>
      <c r="F53" s="209">
        <f>E24-F51-F52</f>
        <v>8414</v>
      </c>
      <c r="G53" s="201"/>
      <c r="H53" s="202"/>
      <c r="I53" s="200"/>
      <c r="J53" s="203"/>
    </row>
    <row r="54" spans="1:10">
      <c r="A54" s="9"/>
      <c r="B54" s="196"/>
      <c r="C54" s="197" t="s">
        <v>74</v>
      </c>
      <c r="D54" s="206"/>
      <c r="E54" s="200"/>
      <c r="F54" s="209">
        <f>(1-E53)*F53</f>
        <v>6478.78</v>
      </c>
      <c r="G54" s="201"/>
      <c r="H54" s="202"/>
      <c r="I54" s="200"/>
      <c r="J54" s="203"/>
    </row>
    <row r="55" spans="1:10" ht="13.5" thickBot="1">
      <c r="A55" s="9"/>
      <c r="B55" s="210"/>
      <c r="C55" s="211" t="s">
        <v>60</v>
      </c>
      <c r="D55" s="212"/>
      <c r="E55" s="213"/>
      <c r="F55" s="214">
        <f>F53-F54</f>
        <v>1935.2200000000003</v>
      </c>
      <c r="G55" s="215" t="s">
        <v>61</v>
      </c>
      <c r="H55" s="216"/>
      <c r="I55" s="213"/>
      <c r="J55" s="217"/>
    </row>
    <row r="56" spans="1:10">
      <c r="A56" s="9"/>
      <c r="B56" s="3"/>
      <c r="F56" s="51"/>
      <c r="G56" s="55"/>
      <c r="H56" s="56"/>
      <c r="I56" s="51"/>
      <c r="J56" s="50"/>
    </row>
    <row r="57" spans="1:10">
      <c r="A57" s="9"/>
      <c r="B57" s="3"/>
      <c r="F57" s="101"/>
      <c r="G57" s="55"/>
      <c r="H57" s="56"/>
      <c r="I57" s="51"/>
      <c r="J57" s="50"/>
    </row>
    <row r="58" spans="1:10">
      <c r="A58" s="9"/>
      <c r="B58" s="3"/>
      <c r="F58" s="101"/>
      <c r="G58" s="55"/>
      <c r="H58" s="56"/>
      <c r="I58" s="51"/>
      <c r="J58" s="50"/>
    </row>
    <row r="59" spans="1:10">
      <c r="A59" s="9"/>
      <c r="B59" s="3"/>
      <c r="C59" s="4"/>
      <c r="D59" s="3"/>
      <c r="E59" s="55"/>
      <c r="F59" s="51"/>
      <c r="G59" s="55"/>
      <c r="H59" s="56"/>
      <c r="I59" s="51"/>
      <c r="J59" s="50"/>
    </row>
    <row r="60" spans="1:10">
      <c r="A60" s="9"/>
      <c r="B60" s="24" t="s">
        <v>12</v>
      </c>
      <c r="C60" s="36"/>
      <c r="D60" s="36"/>
      <c r="E60" s="54"/>
      <c r="F60" s="36"/>
      <c r="G60" s="36"/>
      <c r="H60" s="67"/>
      <c r="I60" s="37"/>
      <c r="J60" s="37"/>
    </row>
    <row r="61" spans="1:10">
      <c r="A61" s="9"/>
      <c r="B61" s="36"/>
      <c r="C61" s="57" t="s">
        <v>40</v>
      </c>
      <c r="D61" s="58"/>
      <c r="E61" s="59"/>
      <c r="F61" s="58"/>
      <c r="G61" s="68" t="str">
        <f>E15</f>
        <v>$</v>
      </c>
      <c r="H61" s="45">
        <v>3995</v>
      </c>
      <c r="I61" s="99"/>
      <c r="J61" s="40"/>
    </row>
    <row r="62" spans="1:10">
      <c r="A62" s="9"/>
      <c r="B62" s="36"/>
      <c r="C62" s="57"/>
      <c r="D62" s="60"/>
      <c r="E62" s="60"/>
      <c r="F62" s="60"/>
      <c r="G62" s="61"/>
      <c r="H62" s="45"/>
      <c r="I62" s="71"/>
      <c r="J62" s="40"/>
    </row>
    <row r="63" spans="1:10">
      <c r="A63" s="9"/>
      <c r="B63" s="36"/>
      <c r="C63" s="57" t="s">
        <v>75</v>
      </c>
      <c r="D63" s="58"/>
      <c r="E63" s="59"/>
      <c r="F63" s="58"/>
      <c r="G63" s="37" t="s">
        <v>13</v>
      </c>
      <c r="H63" s="218">
        <f>IF(ROUNDUP((E24/(H25+1))/260, 0)&lt;E19,E19,ROUNDUP((E24/(H25+1))/260, 0))</f>
        <v>8</v>
      </c>
      <c r="I63" s="40"/>
      <c r="J63" s="40"/>
    </row>
    <row r="64" spans="1:10">
      <c r="B64" s="40"/>
      <c r="C64" s="57" t="s">
        <v>72</v>
      </c>
      <c r="D64" s="60"/>
      <c r="E64" s="60"/>
      <c r="F64" s="60"/>
      <c r="G64" s="62"/>
      <c r="H64" s="45">
        <v>795</v>
      </c>
      <c r="I64" s="40"/>
      <c r="J64" s="40"/>
    </row>
    <row r="65" spans="2:10" ht="13.5" thickBot="1">
      <c r="B65" s="40"/>
      <c r="C65" s="57" t="s">
        <v>32</v>
      </c>
      <c r="D65" s="60"/>
      <c r="E65" s="60"/>
      <c r="F65" s="60"/>
      <c r="G65" s="68" t="str">
        <f>E15</f>
        <v>$</v>
      </c>
      <c r="H65" s="97">
        <f>SUM((H61*H63)+H64)</f>
        <v>32755</v>
      </c>
      <c r="I65" s="40"/>
      <c r="J65" s="40"/>
    </row>
    <row r="66" spans="2:10" ht="13.5" thickTop="1">
      <c r="B66" s="40"/>
      <c r="C66" s="34"/>
      <c r="D66" s="37"/>
      <c r="E66" s="37"/>
      <c r="F66" s="37"/>
      <c r="G66" s="37"/>
      <c r="H66" s="45"/>
      <c r="I66" s="40"/>
      <c r="J66" s="40"/>
    </row>
    <row r="67" spans="2:10">
      <c r="B67" s="40"/>
      <c r="C67" s="57" t="s">
        <v>14</v>
      </c>
      <c r="D67" s="60"/>
      <c r="E67" s="60"/>
      <c r="F67" s="60"/>
      <c r="H67" s="45">
        <v>30</v>
      </c>
      <c r="I67" s="69" t="s">
        <v>15</v>
      </c>
      <c r="J67" s="40"/>
    </row>
    <row r="68" spans="2:10">
      <c r="B68" s="40"/>
      <c r="C68" s="40"/>
      <c r="D68" s="40"/>
      <c r="E68" s="40"/>
      <c r="F68" s="40"/>
      <c r="G68" s="40"/>
      <c r="H68" s="45"/>
      <c r="I68" s="40"/>
      <c r="J68" s="40"/>
    </row>
    <row r="69" spans="2:10">
      <c r="B69" s="40"/>
      <c r="C69" s="100" t="s">
        <v>35</v>
      </c>
      <c r="D69" s="63"/>
      <c r="E69" s="64"/>
      <c r="F69" s="65"/>
      <c r="G69" s="68" t="str">
        <f>E15</f>
        <v>$</v>
      </c>
      <c r="H69" s="45">
        <v>800</v>
      </c>
      <c r="I69" s="22" t="s">
        <v>79</v>
      </c>
      <c r="J69" s="37"/>
    </row>
    <row r="70" spans="2:10" ht="15.75" hidden="1">
      <c r="C70" s="23" t="s">
        <v>16</v>
      </c>
      <c r="D70" s="23"/>
      <c r="E70" s="23"/>
      <c r="G70" s="68" t="str">
        <f>E15</f>
        <v>$</v>
      </c>
      <c r="H70" s="45">
        <v>0</v>
      </c>
    </row>
    <row r="71" spans="2:10" ht="13.5" thickBot="1">
      <c r="G71" s="68" t="str">
        <f>E15</f>
        <v>$</v>
      </c>
      <c r="H71" s="97">
        <f>H69*H63</f>
        <v>6400</v>
      </c>
      <c r="I71" t="s">
        <v>17</v>
      </c>
    </row>
    <row r="72" spans="2:10" ht="13.5" thickTop="1"/>
  </sheetData>
  <phoneticPr fontId="29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&amp;LFluke Corporation&amp;R&amp;D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55"/>
  <sheetViews>
    <sheetView showGridLines="0" topLeftCell="A28" workbookViewId="0">
      <selection activeCell="U52" sqref="U52"/>
    </sheetView>
  </sheetViews>
  <sheetFormatPr defaultRowHeight="12.75"/>
  <cols>
    <col min="1" max="1" width="3.28515625" style="1" customWidth="1"/>
    <col min="2" max="2" width="1.7109375" style="1" customWidth="1"/>
    <col min="3" max="3" width="10" style="2" customWidth="1"/>
    <col min="4" max="4" width="17.5703125" style="1" customWidth="1"/>
    <col min="5" max="5" width="4.140625" style="1" customWidth="1"/>
    <col min="6" max="6" width="10" style="1" bestFit="1" customWidth="1"/>
    <col min="7" max="7" width="1.7109375" style="1" hidden="1" customWidth="1"/>
    <col min="8" max="8" width="7.7109375" style="1" hidden="1" customWidth="1"/>
    <col min="9" max="9" width="1.7109375" style="1" customWidth="1"/>
    <col min="10" max="10" width="9.7109375" style="1" bestFit="1" customWidth="1"/>
    <col min="11" max="11" width="1.7109375" style="1" customWidth="1"/>
    <col min="12" max="12" width="9.7109375" style="1" bestFit="1" customWidth="1"/>
    <col min="13" max="13" width="1.7109375" style="1" customWidth="1"/>
    <col min="14" max="14" width="7.85546875" style="1" customWidth="1"/>
    <col min="15" max="15" width="1.7109375" style="1" customWidth="1"/>
    <col min="16" max="16" width="8" style="1" customWidth="1"/>
    <col min="17" max="17" width="1.7109375" style="1" customWidth="1"/>
    <col min="18" max="18" width="9" style="1" customWidth="1"/>
    <col min="19" max="16384" width="9.140625" style="1"/>
  </cols>
  <sheetData>
    <row r="1" spans="1:19" ht="28.5" customHeight="1"/>
    <row r="3" spans="1:19">
      <c r="A3" s="16"/>
      <c r="B3" s="4"/>
      <c r="C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>
      <c r="A4" s="4"/>
      <c r="B4" s="4"/>
      <c r="C4" s="3"/>
      <c r="D4" s="219" t="s">
        <v>47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4"/>
      <c r="R4" s="4"/>
      <c r="S4" s="4"/>
    </row>
    <row r="5" spans="1:19" ht="7.5" customHeight="1">
      <c r="A5" s="4"/>
      <c r="B5" s="4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77.25" customHeight="1">
      <c r="A6" s="4"/>
      <c r="B6" s="4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2" customHeight="1">
      <c r="A7" s="4"/>
      <c r="B7" s="4"/>
      <c r="C7" s="3"/>
      <c r="D7" s="4"/>
      <c r="E7" s="4"/>
      <c r="F7" s="4"/>
      <c r="G7" s="4"/>
      <c r="H7" s="4"/>
      <c r="I7" s="4"/>
      <c r="J7" s="10">
        <f ca="1">+'RM-17-01 Input Data'!E11</f>
        <v>40532.407504166666</v>
      </c>
      <c r="K7" s="10"/>
      <c r="L7" s="10">
        <f ca="1">J7+365</f>
        <v>40897.407504166666</v>
      </c>
      <c r="M7" s="10"/>
      <c r="N7" s="10">
        <f ca="1">L7+365</f>
        <v>41262.407504166666</v>
      </c>
      <c r="O7" s="10"/>
      <c r="P7" s="10">
        <f ca="1">N7+365</f>
        <v>41627.407504166666</v>
      </c>
      <c r="Q7" s="4"/>
      <c r="R7" s="10">
        <f ca="1">P7+365</f>
        <v>41992.407504166666</v>
      </c>
      <c r="S7" s="4"/>
    </row>
    <row r="8" spans="1:19" ht="5.25" customHeight="1">
      <c r="A8" s="4"/>
      <c r="B8" s="4"/>
      <c r="C8" s="8"/>
      <c r="D8" s="6"/>
      <c r="E8" s="6"/>
      <c r="F8" s="6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2.75" customHeight="1">
      <c r="A9" s="4"/>
      <c r="B9" s="4"/>
      <c r="C9" s="103" t="s">
        <v>46</v>
      </c>
      <c r="D9" s="104"/>
      <c r="E9" s="104"/>
      <c r="F9" s="105"/>
      <c r="G9" s="105"/>
      <c r="H9" s="105"/>
      <c r="I9" s="105"/>
      <c r="J9" s="106"/>
      <c r="K9" s="106"/>
      <c r="L9" s="106"/>
      <c r="M9" s="106"/>
      <c r="N9" s="106"/>
      <c r="O9" s="106"/>
      <c r="P9" s="106"/>
      <c r="Q9" s="106"/>
      <c r="R9" s="107"/>
      <c r="S9" s="4"/>
    </row>
    <row r="10" spans="1:19" ht="12.75" customHeight="1">
      <c r="A10" s="4"/>
      <c r="B10" s="4"/>
      <c r="C10" s="108"/>
      <c r="D10" s="27"/>
      <c r="E10" s="27"/>
      <c r="F10" s="109"/>
      <c r="G10" s="109"/>
      <c r="H10" s="109"/>
      <c r="I10" s="109"/>
      <c r="J10" s="26"/>
      <c r="K10" s="26"/>
      <c r="L10" s="26"/>
      <c r="M10" s="26"/>
      <c r="N10" s="26"/>
      <c r="O10" s="26"/>
      <c r="P10" s="26"/>
      <c r="Q10" s="26"/>
      <c r="R10" s="110"/>
      <c r="S10" s="4"/>
    </row>
    <row r="11" spans="1:19" ht="12.75" customHeight="1">
      <c r="A11" s="4"/>
      <c r="B11" s="4"/>
      <c r="C11" s="111" t="s">
        <v>18</v>
      </c>
      <c r="D11" s="27"/>
      <c r="E11" s="27"/>
      <c r="F11" s="109"/>
      <c r="G11" s="109"/>
      <c r="H11" s="109"/>
      <c r="I11" s="109"/>
      <c r="J11" s="26"/>
      <c r="K11" s="26"/>
      <c r="L11" s="26"/>
      <c r="M11" s="26"/>
      <c r="N11" s="26"/>
      <c r="O11" s="26"/>
      <c r="P11" s="26"/>
      <c r="Q11" s="26"/>
      <c r="R11" s="110"/>
      <c r="S11" s="4"/>
    </row>
    <row r="12" spans="1:19" ht="12.75" customHeight="1">
      <c r="A12" s="4"/>
      <c r="B12" s="4"/>
      <c r="C12" s="112"/>
      <c r="D12" s="27" t="str">
        <f>'RM-17-01 Input Data'!C29</f>
        <v>Testing @ 80meters/Day</v>
      </c>
      <c r="E12" s="27"/>
      <c r="F12" s="109"/>
      <c r="G12" s="109"/>
      <c r="H12" s="109"/>
      <c r="I12" s="30"/>
      <c r="J12" s="113">
        <f>('RM-17-01 Input Data'!E$24*'RM-17-01 Input Data'!$H$24*'RM-17-01 Input Data'!$E29*('RM-17-01 Input Data'!$E$20))+('RM-17-01 Input Data'!E$24*'RM-17-01 Input Data'!$H$24*'RM-17-01 Input Data'!$H29*('RM-17-01 Input Data'!$E$21))</f>
        <v>21636</v>
      </c>
      <c r="K12" s="113"/>
      <c r="L12" s="113">
        <f>J12*('RM-17-01 Input Data'!$E$14+1)</f>
        <v>22285.08</v>
      </c>
      <c r="M12" s="113"/>
      <c r="N12" s="113">
        <f>L12*('RM-17-01 Input Data'!$E$14+1)</f>
        <v>22953.632400000002</v>
      </c>
      <c r="O12" s="113"/>
      <c r="P12" s="113">
        <f>N12*('RM-17-01 Input Data'!$E$14+1)</f>
        <v>23642.241372000004</v>
      </c>
      <c r="Q12" s="113"/>
      <c r="R12" s="114">
        <f>P12*('RM-17-01 Input Data'!$E$14+1)</f>
        <v>24351.508613160004</v>
      </c>
      <c r="S12" s="4"/>
    </row>
    <row r="13" spans="1:19" ht="12.75" customHeight="1">
      <c r="A13" s="4"/>
      <c r="B13" s="4"/>
      <c r="C13" s="112"/>
      <c r="D13" s="27" t="str">
        <f>'RM-17-01 Input Data'!C30</f>
        <v>Inspecting/Packing @ 200meter/Day</v>
      </c>
      <c r="E13" s="27"/>
      <c r="F13" s="109"/>
      <c r="G13" s="109"/>
      <c r="H13" s="109"/>
      <c r="I13" s="30"/>
      <c r="J13" s="113">
        <f>('RM-17-01 Input Data'!E$24*'RM-17-01 Input Data'!$H$24*'RM-17-01 Input Data'!$E30*('RM-17-01 Input Data'!$E$20))+('RM-17-01 Input Data'!E$24*'RM-17-01 Input Data'!$H$24*'RM-17-01 Input Data'!$H30*('RM-17-01 Input Data'!$E$21))</f>
        <v>8654.4</v>
      </c>
      <c r="K13" s="113"/>
      <c r="L13" s="113">
        <f>J13*('RM-17-01 Input Data'!$E$14+1)</f>
        <v>8914.0319999999992</v>
      </c>
      <c r="M13" s="113"/>
      <c r="N13" s="113">
        <f>L13*('RM-17-01 Input Data'!$E$14+1)</f>
        <v>9181.4529599999987</v>
      </c>
      <c r="O13" s="113"/>
      <c r="P13" s="113">
        <f>N13*('RM-17-01 Input Data'!$E$14+1)</f>
        <v>9456.8965487999994</v>
      </c>
      <c r="Q13" s="113"/>
      <c r="R13" s="114">
        <f>P13*('RM-17-01 Input Data'!$E$14+1)</f>
        <v>9740.6034452639997</v>
      </c>
      <c r="S13" s="4"/>
    </row>
    <row r="14" spans="1:19" ht="12.75" customHeight="1">
      <c r="A14" s="4"/>
      <c r="B14" s="4"/>
      <c r="C14" s="112"/>
      <c r="D14" s="27" t="str">
        <f>'RM-17-01 Input Data'!C31</f>
        <v>Hypotting @ 400meters/Day</v>
      </c>
      <c r="E14" s="27"/>
      <c r="F14" s="109"/>
      <c r="G14" s="109"/>
      <c r="H14" s="109"/>
      <c r="I14" s="30"/>
      <c r="J14" s="113">
        <f>('RM-17-01 Input Data'!E$24*'RM-17-01 Input Data'!$H$24*'RM-17-01 Input Data'!$E31*('RM-17-01 Input Data'!$E$20))+('RM-17-01 Input Data'!E$24*'RM-17-01 Input Data'!$H$24*'RM-17-01 Input Data'!$H31*('RM-17-01 Input Data'!$E$21))</f>
        <v>4327.2</v>
      </c>
      <c r="K14" s="113"/>
      <c r="L14" s="113">
        <f>J14*('RM-17-01 Input Data'!$E$13+'RM-17-01 Input Data'!$E$14+1)</f>
        <v>4543.5600000000004</v>
      </c>
      <c r="M14" s="113"/>
      <c r="N14" s="113">
        <f>L14*('RM-17-01 Input Data'!$E$13+'RM-17-01 Input Data'!$E$14+1)</f>
        <v>4770.7380000000003</v>
      </c>
      <c r="O14" s="113"/>
      <c r="P14" s="113">
        <f>N14*('RM-17-01 Input Data'!$E$13+'RM-17-01 Input Data'!$E$14+1)</f>
        <v>5009.2749000000003</v>
      </c>
      <c r="Q14" s="113"/>
      <c r="R14" s="114">
        <f>P14*('RM-17-01 Input Data'!$E$13+'RM-17-01 Input Data'!$E$14+1)</f>
        <v>5259.7386450000004</v>
      </c>
      <c r="S14" s="4"/>
    </row>
    <row r="15" spans="1:19" ht="12.75" customHeight="1">
      <c r="A15" s="4"/>
      <c r="B15" s="4"/>
      <c r="C15" s="112"/>
      <c r="D15" s="27" t="str">
        <f>'RM-17-01 Input Data'!C32</f>
        <v>Field Handling Per Meter</v>
      </c>
      <c r="E15" s="27"/>
      <c r="F15" s="109"/>
      <c r="G15" s="109"/>
      <c r="H15" s="109"/>
      <c r="I15" s="30"/>
      <c r="J15" s="113">
        <f>('RM-17-01 Input Data'!E$24*'RM-17-01 Input Data'!$H$24*'RM-17-01 Input Data'!$E32*('RM-17-01 Input Data'!$E$20))+('RM-17-01 Input Data'!E$24*'RM-17-01 Input Data'!$H$24*'RM-17-01 Input Data'!$H32*('RM-17-01 Input Data'!$E$21))</f>
        <v>37141.799999999996</v>
      </c>
      <c r="K15" s="113"/>
      <c r="L15" s="113">
        <f>J15*('RM-17-01 Input Data'!$E$13+'RM-17-01 Input Data'!$E$14+1)</f>
        <v>38998.89</v>
      </c>
      <c r="M15" s="113"/>
      <c r="N15" s="113">
        <f>L15*('RM-17-01 Input Data'!$E$13+'RM-17-01 Input Data'!$E$14+1)</f>
        <v>40948.834500000004</v>
      </c>
      <c r="O15" s="113"/>
      <c r="P15" s="113">
        <f>N15*('RM-17-01 Input Data'!$E$13+'RM-17-01 Input Data'!$E$14+1)</f>
        <v>42996.276225000009</v>
      </c>
      <c r="Q15" s="113"/>
      <c r="R15" s="114">
        <f>P15*('RM-17-01 Input Data'!$E$13+'RM-17-01 Input Data'!$E$14+1)</f>
        <v>45146.090036250011</v>
      </c>
      <c r="S15" s="4"/>
    </row>
    <row r="16" spans="1:19" ht="15" customHeight="1">
      <c r="A16" s="4"/>
      <c r="B16" s="4"/>
      <c r="C16" s="112"/>
      <c r="D16" s="27" t="s">
        <v>19</v>
      </c>
      <c r="E16" s="27"/>
      <c r="F16" s="115"/>
      <c r="G16" s="115"/>
      <c r="H16" s="115"/>
      <c r="I16" s="30" t="str">
        <f>+'RM-17-01 Input Data'!E15</f>
        <v>$</v>
      </c>
      <c r="J16" s="98">
        <f>SUM(J12:J15)</f>
        <v>71759.399999999994</v>
      </c>
      <c r="K16" s="98"/>
      <c r="L16" s="98">
        <f>SUM(L12:L15)</f>
        <v>74741.562000000005</v>
      </c>
      <c r="M16" s="98"/>
      <c r="N16" s="98">
        <f>SUM(N12:N15)</f>
        <v>77854.657860000007</v>
      </c>
      <c r="O16" s="98"/>
      <c r="P16" s="98">
        <f>SUM(P12:P15)</f>
        <v>81104.689045800013</v>
      </c>
      <c r="Q16" s="98"/>
      <c r="R16" s="116">
        <f>SUM(R12:R15)</f>
        <v>84497.940739674013</v>
      </c>
      <c r="S16" s="4"/>
    </row>
    <row r="17" spans="1:19" ht="12.75" customHeight="1">
      <c r="A17" s="4"/>
      <c r="B17" s="4"/>
      <c r="C17" s="117"/>
      <c r="D17" s="27"/>
      <c r="E17" s="27"/>
      <c r="F17" s="109"/>
      <c r="G17" s="109"/>
      <c r="H17" s="109"/>
      <c r="I17" s="30"/>
      <c r="J17" s="113"/>
      <c r="K17" s="30"/>
      <c r="L17" s="113"/>
      <c r="M17" s="113"/>
      <c r="N17" s="113"/>
      <c r="O17" s="113"/>
      <c r="P17" s="113"/>
      <c r="Q17" s="113"/>
      <c r="R17" s="114"/>
      <c r="S17" s="4"/>
    </row>
    <row r="18" spans="1:19" ht="12.75" customHeight="1">
      <c r="A18" s="4"/>
      <c r="B18" s="4"/>
      <c r="C18" s="117"/>
      <c r="D18" s="27"/>
      <c r="E18" s="27"/>
      <c r="F18" s="109"/>
      <c r="G18" s="109"/>
      <c r="H18" s="109"/>
      <c r="I18" s="30"/>
      <c r="J18" s="113"/>
      <c r="K18" s="30"/>
      <c r="L18" s="113"/>
      <c r="M18" s="113"/>
      <c r="N18" s="113"/>
      <c r="O18" s="113"/>
      <c r="P18" s="113"/>
      <c r="Q18" s="113"/>
      <c r="R18" s="114"/>
      <c r="S18" s="4"/>
    </row>
    <row r="19" spans="1:19" ht="12.75" customHeight="1">
      <c r="A19" s="4"/>
      <c r="B19" s="4"/>
      <c r="C19" s="117"/>
      <c r="D19" s="27" t="s">
        <v>20</v>
      </c>
      <c r="E19" s="27"/>
      <c r="F19" s="109"/>
      <c r="G19" s="109"/>
      <c r="H19" s="109"/>
      <c r="I19" s="30"/>
      <c r="J19" s="113">
        <f>J16</f>
        <v>71759.399999999994</v>
      </c>
      <c r="K19" s="30"/>
      <c r="L19" s="113">
        <f>L16</f>
        <v>74741.562000000005</v>
      </c>
      <c r="M19" s="113"/>
      <c r="N19" s="113">
        <f>N16</f>
        <v>77854.657860000007</v>
      </c>
      <c r="O19" s="113"/>
      <c r="P19" s="113">
        <f>P16</f>
        <v>81104.689045800013</v>
      </c>
      <c r="Q19" s="113"/>
      <c r="R19" s="114">
        <f>R16</f>
        <v>84497.940739674013</v>
      </c>
      <c r="S19" s="4"/>
    </row>
    <row r="20" spans="1:19" ht="12.75" customHeight="1">
      <c r="A20" s="4"/>
      <c r="B20" s="4"/>
      <c r="C20" s="117"/>
      <c r="D20" s="27" t="s">
        <v>21</v>
      </c>
      <c r="E20" s="27"/>
      <c r="F20" s="109"/>
      <c r="G20" s="109"/>
      <c r="H20" s="109"/>
      <c r="I20" s="30"/>
      <c r="J20" s="113">
        <f>'RM-17-01 Input Data'!H34</f>
        <v>1350</v>
      </c>
      <c r="K20" s="30"/>
      <c r="L20" s="113">
        <f>J20*('RM-17-01 Input Data'!$E$14+1)</f>
        <v>1390.5</v>
      </c>
      <c r="M20" s="113"/>
      <c r="N20" s="113">
        <f>L20*('RM-17-01 Input Data'!$E$14+1)</f>
        <v>1432.2150000000001</v>
      </c>
      <c r="O20" s="113"/>
      <c r="P20" s="113">
        <f>N20*('RM-17-01 Input Data'!$E$14+1)</f>
        <v>1475.1814500000003</v>
      </c>
      <c r="Q20" s="113"/>
      <c r="R20" s="114">
        <f>P20*('RM-17-01 Input Data'!$E$14+1)</f>
        <v>1519.4368935000002</v>
      </c>
      <c r="S20" s="4"/>
    </row>
    <row r="21" spans="1:19" ht="12.75" customHeight="1">
      <c r="A21" s="4"/>
      <c r="B21" s="4"/>
      <c r="C21" s="117"/>
      <c r="D21" s="27" t="s">
        <v>22</v>
      </c>
      <c r="E21" s="27"/>
      <c r="F21" s="109"/>
      <c r="G21" s="109"/>
      <c r="H21" s="109"/>
      <c r="I21" s="30"/>
      <c r="J21" s="113">
        <f>(('RM-17-01 Input Data'!$E$24*'RM-17-01 Input Data'!$H29)+('RM-17-01 Input Data'!$E$24*'RM-17-01 Input Data'!H30)+('RM-17-01 Input Data'!$E$24*'RM-17-01 Input Data'!H31)+('RM-17-01 Input Data'!$E$24*'RM-17-01 Input Data'!H32))*'RM-17-01 Input Data'!E21</f>
        <v>2524.2000000000003</v>
      </c>
      <c r="K21" s="113"/>
      <c r="L21" s="113">
        <f>+J21*(1+'RM-17-01 Input Data'!$E$13+'RM-17-01 Input Data'!$E$14)</f>
        <v>2650.4100000000003</v>
      </c>
      <c r="M21" s="113"/>
      <c r="N21" s="113">
        <f>+L21*(1+'RM-17-01 Input Data'!$E$13+'RM-17-01 Input Data'!$E$14)</f>
        <v>2782.9305000000004</v>
      </c>
      <c r="O21" s="113"/>
      <c r="P21" s="113">
        <f>+N21*(1+'RM-17-01 Input Data'!$E$13+'RM-17-01 Input Data'!$E$14)</f>
        <v>2922.0770250000005</v>
      </c>
      <c r="Q21" s="113"/>
      <c r="R21" s="114">
        <f>+P21*(1+'RM-17-01 Input Data'!$E$13+'RM-17-01 Input Data'!$E$14)</f>
        <v>3068.1808762500004</v>
      </c>
      <c r="S21" s="4"/>
    </row>
    <row r="22" spans="1:19" ht="18" customHeight="1" thickBot="1">
      <c r="A22" s="4"/>
      <c r="B22" s="4"/>
      <c r="C22" s="118"/>
      <c r="D22" s="119" t="s">
        <v>23</v>
      </c>
      <c r="E22" s="119"/>
      <c r="F22" s="120"/>
      <c r="G22" s="120"/>
      <c r="H22" s="120"/>
      <c r="I22" s="121" t="str">
        <f>+'RM-17-01 Input Data'!E15</f>
        <v>$</v>
      </c>
      <c r="J22" s="17">
        <f>SUM(J19:J21)</f>
        <v>75633.599999999991</v>
      </c>
      <c r="K22" s="17"/>
      <c r="L22" s="17">
        <f>SUM(L19:L21)</f>
        <v>78782.472000000009</v>
      </c>
      <c r="M22" s="17"/>
      <c r="N22" s="17">
        <f>SUM(N19:N21)</f>
        <v>82069.803360000005</v>
      </c>
      <c r="O22" s="17"/>
      <c r="P22" s="17">
        <f>SUM(P19:P21)</f>
        <v>85501.947520800022</v>
      </c>
      <c r="Q22" s="17"/>
      <c r="R22" s="140">
        <f>SUM(R19:R21)</f>
        <v>89085.558509424009</v>
      </c>
      <c r="S22" s="4"/>
    </row>
    <row r="23" spans="1:19" ht="12" customHeight="1" thickTop="1">
      <c r="A23" s="4"/>
      <c r="B23" s="4"/>
      <c r="C23" s="3"/>
      <c r="D23" s="6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2" customHeight="1">
      <c r="A24" s="4"/>
      <c r="B24" s="4"/>
      <c r="C24" s="122" t="s">
        <v>58</v>
      </c>
      <c r="D24" s="104"/>
      <c r="E24" s="104"/>
      <c r="F24" s="104"/>
      <c r="G24" s="104"/>
      <c r="H24" s="105"/>
      <c r="I24" s="105"/>
      <c r="J24" s="123"/>
      <c r="K24" s="123"/>
      <c r="L24" s="123"/>
      <c r="M24" s="123"/>
      <c r="N24" s="123"/>
      <c r="O24" s="123"/>
      <c r="P24" s="123"/>
      <c r="Q24" s="106"/>
      <c r="R24" s="107"/>
      <c r="S24" s="4"/>
    </row>
    <row r="25" spans="1:19" ht="8.25" customHeight="1">
      <c r="A25" s="4"/>
      <c r="B25" s="4"/>
      <c r="C25" s="124"/>
      <c r="D25" s="27"/>
      <c r="E25" s="27"/>
      <c r="F25" s="125"/>
      <c r="G25" s="125"/>
      <c r="H25" s="125"/>
      <c r="I25" s="125"/>
      <c r="J25" s="26"/>
      <c r="K25" s="26"/>
      <c r="L25" s="26"/>
      <c r="M25" s="26"/>
      <c r="N25" s="26"/>
      <c r="O25" s="26"/>
      <c r="P25" s="26"/>
      <c r="Q25" s="26"/>
      <c r="R25" s="110"/>
      <c r="S25" s="4"/>
    </row>
    <row r="26" spans="1:19" ht="12.75" customHeight="1">
      <c r="A26" s="4"/>
      <c r="B26" s="4"/>
      <c r="C26" s="111" t="s">
        <v>18</v>
      </c>
      <c r="D26" s="27"/>
      <c r="E26" s="27"/>
      <c r="F26" s="125"/>
      <c r="G26" s="125"/>
      <c r="H26" s="125"/>
      <c r="I26" s="125"/>
      <c r="J26" s="26"/>
      <c r="K26" s="26"/>
      <c r="L26" s="26"/>
      <c r="M26" s="26"/>
      <c r="N26" s="26"/>
      <c r="O26" s="26"/>
      <c r="P26" s="26"/>
      <c r="Q26" s="26"/>
      <c r="R26" s="110"/>
      <c r="S26" s="4"/>
    </row>
    <row r="27" spans="1:19">
      <c r="A27" s="4"/>
      <c r="B27" s="4"/>
      <c r="C27" s="124"/>
      <c r="D27" s="27" t="str">
        <f>'RM-17-01 Input Data'!C38</f>
        <v>Field Testing</v>
      </c>
      <c r="E27" s="27"/>
      <c r="F27" s="126"/>
      <c r="G27" s="126"/>
      <c r="H27" s="115"/>
      <c r="I27" s="30"/>
      <c r="J27" s="113">
        <f>('RM-17-01 Input Data'!$E$24*'RM-17-01 Input Data'!$H$24*'RM-17-01 Input Data'!$E38*('RM-17-01 Input Data'!$E$20))+('RM-17-01 Input Data'!$E$24*'RM-17-01 Input Data'!$H$24*'RM-17-01 Input Data'!$H38*('RM-17-01 Input Data'!$E$21))</f>
        <v>46733.760000000002</v>
      </c>
      <c r="K27" s="113"/>
      <c r="L27" s="113">
        <f>J27*('RM-17-01 Input Data'!$E$14+1)</f>
        <v>48135.772800000006</v>
      </c>
      <c r="M27" s="113"/>
      <c r="N27" s="113">
        <f>L27*('RM-17-01 Input Data'!$E$14+1)</f>
        <v>49579.845984000007</v>
      </c>
      <c r="O27" s="113"/>
      <c r="P27" s="113">
        <f>N27*('RM-17-01 Input Data'!$E$14+1)</f>
        <v>51067.241363520006</v>
      </c>
      <c r="Q27" s="113"/>
      <c r="R27" s="114">
        <f>P27*('RM-17-01 Input Data'!$E$14+1)</f>
        <v>52599.25860442561</v>
      </c>
      <c r="S27" s="4"/>
    </row>
    <row r="28" spans="1:19">
      <c r="A28" s="4"/>
      <c r="B28" s="4"/>
      <c r="C28" s="112"/>
      <c r="D28" s="27" t="str">
        <f>'RM-17-01 Input Data'!C39</f>
        <v>Test Data Entry</v>
      </c>
      <c r="E28" s="27"/>
      <c r="F28" s="126"/>
      <c r="G28" s="126"/>
      <c r="H28" s="115"/>
      <c r="I28" s="30"/>
      <c r="J28" s="113">
        <f>('RM-17-01 Input Data'!$E$24*'RM-17-01 Input Data'!$H$24*'RM-17-01 Input Data'!$E39*('RM-17-01 Input Data'!$E$20))+('RM-17-01 Input Data'!$E$24*'RM-17-01 Input Data'!$H$24*'RM-17-01 Input Data'!$H39*('RM-17-01 Input Data'!$E$21))</f>
        <v>12621</v>
      </c>
      <c r="K28" s="113"/>
      <c r="L28" s="113">
        <f>J28*('RM-17-01 Input Data'!$E$14+1)</f>
        <v>12999.630000000001</v>
      </c>
      <c r="M28" s="113"/>
      <c r="N28" s="113">
        <f>L28*('RM-17-01 Input Data'!$E$14+1)</f>
        <v>13389.618900000001</v>
      </c>
      <c r="O28" s="113"/>
      <c r="P28" s="113">
        <f>N28*('RM-17-01 Input Data'!$E$14+1)</f>
        <v>13791.307467000002</v>
      </c>
      <c r="Q28" s="113"/>
      <c r="R28" s="114">
        <f>P28*('RM-17-01 Input Data'!$E$14+1)</f>
        <v>14205.046691010002</v>
      </c>
      <c r="S28" s="4"/>
    </row>
    <row r="29" spans="1:19">
      <c r="A29" s="4"/>
      <c r="B29" s="4"/>
      <c r="C29" s="112"/>
      <c r="D29" s="27"/>
      <c r="E29" s="27"/>
      <c r="F29" s="126"/>
      <c r="G29" s="126"/>
      <c r="H29" s="115"/>
      <c r="I29" s="30"/>
      <c r="J29" s="113">
        <f>('RM-17-01 Input Data'!$E$24*'RM-17-01 Input Data'!$H$24*'RM-17-01 Input Data'!$E40*('RM-17-01 Input Data'!$E$20))+('RM-17-01 Input Data'!$E$24*'RM-17-01 Input Data'!$H$24*'RM-17-01 Input Data'!$H40*('RM-17-01 Input Data'!$E$21))</f>
        <v>0</v>
      </c>
      <c r="K29" s="113"/>
      <c r="L29" s="113">
        <f>J29*('RM-17-01 Input Data'!$E$13+'RM-17-01 Input Data'!$E$14+1)</f>
        <v>0</v>
      </c>
      <c r="M29" s="113"/>
      <c r="N29" s="113">
        <f>L29*('RM-17-01 Input Data'!$E$13+'RM-17-01 Input Data'!$E$14+1)</f>
        <v>0</v>
      </c>
      <c r="O29" s="113"/>
      <c r="P29" s="113">
        <f>N29*('RM-17-01 Input Data'!$E$13+'RM-17-01 Input Data'!$E$14+1)</f>
        <v>0</v>
      </c>
      <c r="Q29" s="113"/>
      <c r="R29" s="114">
        <f>P29*('RM-17-01 Input Data'!$E$13+'RM-17-01 Input Data'!$E$14+1)</f>
        <v>0</v>
      </c>
      <c r="S29" s="4"/>
    </row>
    <row r="30" spans="1:19">
      <c r="A30" s="4"/>
      <c r="B30" s="4"/>
      <c r="C30" s="112"/>
      <c r="D30" s="27"/>
      <c r="E30" s="27"/>
      <c r="F30" s="126"/>
      <c r="G30" s="126"/>
      <c r="H30" s="115"/>
      <c r="I30" s="30"/>
      <c r="J30" s="113">
        <f>('RM-17-01 Input Data'!$E$24*'RM-17-01 Input Data'!$H$24*'RM-17-01 Input Data'!$E41*('RM-17-01 Input Data'!$E$20))+('RM-17-01 Input Data'!$E$24*'RM-17-01 Input Data'!$H$24*'RM-17-01 Input Data'!$H41*('RM-17-01 Input Data'!$E$21))</f>
        <v>0</v>
      </c>
      <c r="K30" s="113"/>
      <c r="L30" s="113">
        <f>J30*('RM-17-01 Input Data'!$E$13+'RM-17-01 Input Data'!$E$14+1)</f>
        <v>0</v>
      </c>
      <c r="M30" s="113"/>
      <c r="N30" s="113">
        <f>L30*('RM-17-01 Input Data'!$E$13+'RM-17-01 Input Data'!$E$14+1)</f>
        <v>0</v>
      </c>
      <c r="O30" s="113"/>
      <c r="P30" s="113">
        <f>N30*('RM-17-01 Input Data'!$E$13+'RM-17-01 Input Data'!$E$14+1)</f>
        <v>0</v>
      </c>
      <c r="Q30" s="113"/>
      <c r="R30" s="114">
        <f>P30*('RM-17-01 Input Data'!$E$13+'RM-17-01 Input Data'!$E$14+1)</f>
        <v>0</v>
      </c>
      <c r="S30" s="4"/>
    </row>
    <row r="31" spans="1:19">
      <c r="A31" s="4"/>
      <c r="B31" s="4"/>
      <c r="C31" s="112"/>
      <c r="D31" s="27" t="s">
        <v>19</v>
      </c>
      <c r="E31" s="27"/>
      <c r="F31" s="115"/>
      <c r="G31" s="115"/>
      <c r="H31" s="115"/>
      <c r="I31" s="30" t="str">
        <f>+I22</f>
        <v>$</v>
      </c>
      <c r="J31" s="98">
        <f>SUM(J27:J30)</f>
        <v>59354.76</v>
      </c>
      <c r="K31" s="98"/>
      <c r="L31" s="98">
        <f>SUM(L27:L30)</f>
        <v>61135.402800000011</v>
      </c>
      <c r="M31" s="98"/>
      <c r="N31" s="98">
        <f>SUM(N27:N30)</f>
        <v>62969.464884000008</v>
      </c>
      <c r="O31" s="98"/>
      <c r="P31" s="98">
        <f>SUM(P27:P30)</f>
        <v>64858.548830520012</v>
      </c>
      <c r="Q31" s="98"/>
      <c r="R31" s="116">
        <f>SUM(R27:R30)</f>
        <v>66804.30529543561</v>
      </c>
      <c r="S31" s="4"/>
    </row>
    <row r="32" spans="1:19" ht="12" customHeight="1">
      <c r="A32" s="4"/>
      <c r="B32" s="4"/>
      <c r="C32" s="112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127"/>
      <c r="S32" s="4"/>
    </row>
    <row r="33" spans="1:37" ht="12.75" customHeight="1">
      <c r="A33" s="4"/>
      <c r="B33" s="4"/>
      <c r="C33" s="112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127"/>
      <c r="S33" s="4"/>
    </row>
    <row r="34" spans="1:37" ht="12.75" customHeight="1">
      <c r="A34" s="4"/>
      <c r="B34" s="4"/>
      <c r="C34" s="112"/>
      <c r="D34" s="27" t="s">
        <v>24</v>
      </c>
      <c r="E34" s="27"/>
      <c r="F34" s="128"/>
      <c r="G34" s="129"/>
      <c r="H34" s="109"/>
      <c r="I34" s="30"/>
      <c r="J34" s="130">
        <f>+'RM-17-01 Input Data'!$H65*'RM-17-01 Input Data'!$H67/100</f>
        <v>9826.5</v>
      </c>
      <c r="K34" s="30"/>
      <c r="L34" s="130">
        <f>+'RM-17-01 Input Data'!$H65*'RM-17-01 Input Data'!$H67/100</f>
        <v>9826.5</v>
      </c>
      <c r="M34" s="130"/>
      <c r="N34" s="130">
        <f>+'RM-17-01 Input Data'!$H65*'RM-17-01 Input Data'!$H67/100</f>
        <v>9826.5</v>
      </c>
      <c r="O34" s="130"/>
      <c r="P34" s="130">
        <f>+'RM-17-01 Input Data'!$H65*'RM-17-01 Input Data'!$H67/100</f>
        <v>9826.5</v>
      </c>
      <c r="Q34" s="130"/>
      <c r="R34" s="131">
        <f>+'RM-17-01 Input Data'!$H65*'RM-17-01 Input Data'!$H67/100</f>
        <v>9826.5</v>
      </c>
      <c r="S34" s="4"/>
    </row>
    <row r="35" spans="1:37">
      <c r="A35" s="4"/>
      <c r="B35" s="4"/>
      <c r="C35" s="112"/>
      <c r="D35" s="132" t="s">
        <v>64</v>
      </c>
      <c r="E35" s="30"/>
      <c r="F35" s="133"/>
      <c r="G35" s="134"/>
      <c r="H35" s="109"/>
      <c r="I35" s="30"/>
      <c r="J35" s="135">
        <f>+'RM-17-01 Input Data'!$H71/3</f>
        <v>2133.3333333333335</v>
      </c>
      <c r="K35" s="30"/>
      <c r="L35" s="135">
        <f>+'RM-17-01 Input Data'!$H71/3</f>
        <v>2133.3333333333335</v>
      </c>
      <c r="M35" s="135"/>
      <c r="N35" s="135">
        <f>+'RM-17-01 Input Data'!$H71/3</f>
        <v>2133.3333333333335</v>
      </c>
      <c r="O35" s="135"/>
      <c r="P35" s="135">
        <f>+N35*(1+('RM-17-01 Input Data'!$E14*3))</f>
        <v>2325.3333333333335</v>
      </c>
      <c r="Q35" s="135"/>
      <c r="R35" s="136">
        <f>+P35*(1+'RM-17-01 Input Data'!$E14)</f>
        <v>2395.0933333333337</v>
      </c>
      <c r="S35" s="12"/>
      <c r="T35" s="12"/>
    </row>
    <row r="36" spans="1:37">
      <c r="A36" s="4"/>
      <c r="B36" s="4"/>
      <c r="C36" s="112"/>
      <c r="D36" s="27" t="s">
        <v>63</v>
      </c>
      <c r="E36" s="27"/>
      <c r="F36" s="137"/>
      <c r="G36" s="137"/>
      <c r="H36" s="109"/>
      <c r="I36" s="30" t="str">
        <f>+I22</f>
        <v>$</v>
      </c>
      <c r="J36" s="98">
        <f>SUM(J34:J35)</f>
        <v>11959.833333333334</v>
      </c>
      <c r="K36" s="98"/>
      <c r="L36" s="98">
        <f>SUM(L34:L35)</f>
        <v>11959.833333333334</v>
      </c>
      <c r="M36" s="98"/>
      <c r="N36" s="98">
        <f>SUM(N34:N35)</f>
        <v>11959.833333333334</v>
      </c>
      <c r="O36" s="98"/>
      <c r="P36" s="98">
        <f>SUM(P34:P35)</f>
        <v>12151.833333333334</v>
      </c>
      <c r="Q36" s="98"/>
      <c r="R36" s="116">
        <f>SUM(R34:R35)</f>
        <v>12221.593333333334</v>
      </c>
      <c r="S36" s="4"/>
    </row>
    <row r="37" spans="1:37" ht="20.100000000000001" customHeight="1">
      <c r="A37" s="4"/>
      <c r="B37" s="4"/>
      <c r="C37" s="112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127"/>
      <c r="S37" s="4"/>
    </row>
    <row r="38" spans="1:37" customFormat="1">
      <c r="C38" s="124"/>
      <c r="D38" s="27"/>
      <c r="E38" s="27"/>
      <c r="F38" s="109"/>
      <c r="G38" s="109"/>
      <c r="H38" s="109"/>
      <c r="I38" s="109"/>
      <c r="J38" s="27"/>
      <c r="K38" s="27"/>
      <c r="L38" s="27"/>
      <c r="M38" s="27"/>
      <c r="N38" s="27"/>
      <c r="O38" s="27"/>
      <c r="P38" s="27"/>
      <c r="Q38" s="138"/>
      <c r="R38" s="127"/>
    </row>
    <row r="39" spans="1:37" ht="5.25" customHeight="1">
      <c r="A39" s="4"/>
      <c r="B39" s="4"/>
      <c r="C39" s="112"/>
      <c r="D39" s="27"/>
      <c r="E39" s="27"/>
      <c r="F39" s="109"/>
      <c r="G39" s="109"/>
      <c r="H39" s="109"/>
      <c r="I39" s="109"/>
      <c r="J39" s="26"/>
      <c r="K39" s="26"/>
      <c r="L39" s="26"/>
      <c r="M39" s="26"/>
      <c r="N39" s="26"/>
      <c r="O39" s="26"/>
      <c r="P39" s="26"/>
      <c r="Q39" s="26"/>
      <c r="R39" s="110"/>
      <c r="S39" s="4"/>
    </row>
    <row r="40" spans="1:37">
      <c r="A40" s="4"/>
      <c r="B40" s="4"/>
      <c r="C40" s="112" t="s">
        <v>57</v>
      </c>
      <c r="D40" s="27"/>
      <c r="E40" s="27"/>
      <c r="F40" s="109"/>
      <c r="G40" s="109"/>
      <c r="H40" s="109"/>
      <c r="I40" s="109"/>
      <c r="J40" s="26"/>
      <c r="K40" s="26"/>
      <c r="L40" s="26"/>
      <c r="M40" s="26"/>
      <c r="N40" s="26"/>
      <c r="O40" s="26"/>
      <c r="P40" s="26"/>
      <c r="Q40" s="26"/>
      <c r="R40" s="110"/>
      <c r="S40" s="4"/>
    </row>
    <row r="41" spans="1:37">
      <c r="A41" s="4"/>
      <c r="B41" s="4"/>
      <c r="C41" s="112"/>
      <c r="D41" s="27" t="s">
        <v>20</v>
      </c>
      <c r="E41" s="27"/>
      <c r="F41" s="109"/>
      <c r="G41" s="109"/>
      <c r="H41" s="109"/>
      <c r="I41" s="30"/>
      <c r="J41" s="29">
        <f>+J31</f>
        <v>59354.76</v>
      </c>
      <c r="K41" s="30"/>
      <c r="L41" s="29">
        <f>+L31</f>
        <v>61135.402800000011</v>
      </c>
      <c r="M41" s="29"/>
      <c r="N41" s="29">
        <f>+N31</f>
        <v>62969.464884000008</v>
      </c>
      <c r="O41" s="29"/>
      <c r="P41" s="29">
        <f>+P31</f>
        <v>64858.548830520012</v>
      </c>
      <c r="Q41" s="29"/>
      <c r="R41" s="139">
        <f>+R31</f>
        <v>66804.30529543561</v>
      </c>
      <c r="S41" s="27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>
      <c r="A42" s="4"/>
      <c r="B42" s="4"/>
      <c r="C42" s="112"/>
      <c r="D42" s="27" t="s">
        <v>25</v>
      </c>
      <c r="E42" s="27"/>
      <c r="F42" s="109"/>
      <c r="G42" s="109"/>
      <c r="H42" s="109"/>
      <c r="I42" s="30"/>
      <c r="J42" s="29">
        <f>+J36</f>
        <v>11959.833333333334</v>
      </c>
      <c r="K42" s="30"/>
      <c r="L42" s="29">
        <f>+L36</f>
        <v>11959.833333333334</v>
      </c>
      <c r="M42" s="29"/>
      <c r="N42" s="29">
        <f>+N36</f>
        <v>11959.833333333334</v>
      </c>
      <c r="O42" s="29"/>
      <c r="P42" s="29">
        <f>+P36</f>
        <v>12151.833333333334</v>
      </c>
      <c r="Q42" s="29"/>
      <c r="R42" s="139">
        <f>+R36</f>
        <v>12221.593333333334</v>
      </c>
      <c r="S42" s="4"/>
    </row>
    <row r="43" spans="1:37">
      <c r="A43" s="4"/>
      <c r="B43" s="4"/>
      <c r="C43" s="112"/>
      <c r="D43" s="27" t="s">
        <v>22</v>
      </c>
      <c r="E43" s="27"/>
      <c r="F43" s="109"/>
      <c r="G43" s="109"/>
      <c r="H43" s="109"/>
      <c r="I43" s="30"/>
      <c r="J43" s="29">
        <f>(('RM-17-01 Input Data'!E24*'RM-17-01 Input Data'!H38))*'RM-17-01 Input Data'!E21</f>
        <v>0</v>
      </c>
      <c r="K43" s="30"/>
      <c r="L43" s="29">
        <f>+J43*(1+'RM-17-01 Input Data'!$E13+'RM-17-01 Input Data'!$E14)</f>
        <v>0</v>
      </c>
      <c r="M43" s="29"/>
      <c r="N43" s="29">
        <f>+L43*(1+'RM-17-01 Input Data'!$E13+'RM-17-01 Input Data'!$E14)</f>
        <v>0</v>
      </c>
      <c r="O43" s="29"/>
      <c r="P43" s="29">
        <f>+N43*(1+'RM-17-01 Input Data'!$E13+'RM-17-01 Input Data'!$E14)</f>
        <v>0</v>
      </c>
      <c r="Q43" s="29"/>
      <c r="R43" s="139">
        <f>+P43*(1+'RM-17-01 Input Data'!$E13+'RM-17-01 Input Data'!$E14)</f>
        <v>0</v>
      </c>
      <c r="S43" s="4"/>
    </row>
    <row r="44" spans="1:37" ht="18" customHeight="1" thickBot="1">
      <c r="A44" s="4"/>
      <c r="B44" s="4"/>
      <c r="C44" s="118"/>
      <c r="D44" s="119" t="s">
        <v>62</v>
      </c>
      <c r="E44" s="119"/>
      <c r="F44" s="120"/>
      <c r="G44" s="120"/>
      <c r="H44" s="120"/>
      <c r="I44" s="121" t="str">
        <f>+I22</f>
        <v>$</v>
      </c>
      <c r="J44" s="17">
        <f>SUM(J41:J43)</f>
        <v>71314.593333333338</v>
      </c>
      <c r="K44" s="17"/>
      <c r="L44" s="17">
        <f>SUM(L41:L43)</f>
        <v>73095.236133333339</v>
      </c>
      <c r="M44" s="17"/>
      <c r="N44" s="17">
        <f>SUM(N41:N43)</f>
        <v>74929.298217333344</v>
      </c>
      <c r="O44" s="17"/>
      <c r="P44" s="17">
        <f>SUM(P41:P43)</f>
        <v>77010.382163853341</v>
      </c>
      <c r="Q44" s="17"/>
      <c r="R44" s="140">
        <f>SUM(R41:R43)</f>
        <v>79025.898628768948</v>
      </c>
      <c r="S44" s="4"/>
    </row>
    <row r="45" spans="1:37" ht="20.100000000000001" customHeight="1" thickTop="1" thickBot="1">
      <c r="A45" s="4"/>
      <c r="B45" s="4"/>
      <c r="C45" s="3"/>
      <c r="D45" s="4"/>
      <c r="E45" s="4"/>
      <c r="F45" s="9"/>
      <c r="G45" s="9"/>
      <c r="H45" s="9"/>
      <c r="I45" s="9"/>
      <c r="J45" s="13"/>
      <c r="K45" s="9"/>
      <c r="L45" s="13"/>
      <c r="M45" s="9"/>
      <c r="N45" s="13"/>
      <c r="O45" s="9"/>
      <c r="P45" s="13"/>
      <c r="Q45" s="9"/>
      <c r="R45" s="13"/>
      <c r="S45" s="4"/>
    </row>
    <row r="46" spans="1:37" ht="14.25" customHeight="1">
      <c r="A46" s="4"/>
      <c r="B46" s="4"/>
      <c r="C46" s="146" t="s">
        <v>26</v>
      </c>
      <c r="D46" s="147"/>
      <c r="E46" s="147"/>
      <c r="F46" s="148"/>
      <c r="G46" s="148"/>
      <c r="H46" s="148"/>
      <c r="I46" s="149" t="str">
        <f>+I22</f>
        <v>$</v>
      </c>
      <c r="J46" s="150">
        <f>J22-J44</f>
        <v>4319.0066666666535</v>
      </c>
      <c r="K46" s="149"/>
      <c r="L46" s="150">
        <f>L22-L44</f>
        <v>5687.2358666666696</v>
      </c>
      <c r="M46" s="149"/>
      <c r="N46" s="150">
        <f>N22-N44</f>
        <v>7140.5051426666614</v>
      </c>
      <c r="O46" s="149"/>
      <c r="P46" s="150">
        <f>P22-P44</f>
        <v>8491.5653569466813</v>
      </c>
      <c r="Q46" s="149"/>
      <c r="R46" s="151">
        <f>R22-R44</f>
        <v>10059.659880655061</v>
      </c>
      <c r="S46" s="4"/>
    </row>
    <row r="47" spans="1:37" ht="12" customHeight="1">
      <c r="A47" s="4"/>
      <c r="B47" s="4"/>
      <c r="C47" s="152" t="s">
        <v>80</v>
      </c>
      <c r="D47" s="32"/>
      <c r="E47" s="27"/>
      <c r="F47" s="27"/>
      <c r="G47" s="27"/>
      <c r="H47" s="27"/>
      <c r="I47" s="30" t="str">
        <f>+I22</f>
        <v>$</v>
      </c>
      <c r="J47" s="29">
        <f>'RM-17-01 Input Data'!F55*'RM-17-01 Input Data'!E48</f>
        <v>115270.99225600001</v>
      </c>
      <c r="K47" s="27"/>
      <c r="L47" s="29">
        <v>0</v>
      </c>
      <c r="M47" s="29"/>
      <c r="N47" s="29">
        <f>L47*('RM-17-01 Input Data'!$E$14+1)</f>
        <v>0</v>
      </c>
      <c r="O47" s="29"/>
      <c r="P47" s="29">
        <f>N47*('RM-17-01 Input Data'!$E$14+1)</f>
        <v>0</v>
      </c>
      <c r="Q47" s="29"/>
      <c r="R47" s="153">
        <f>P47*('RM-17-01 Input Data'!$E$14+1)</f>
        <v>0</v>
      </c>
      <c r="S47" s="4"/>
    </row>
    <row r="48" spans="1:37" ht="18" customHeight="1" thickBot="1">
      <c r="A48" s="4"/>
      <c r="B48" s="4"/>
      <c r="C48" s="154" t="s">
        <v>65</v>
      </c>
      <c r="D48" s="32"/>
      <c r="E48" s="32"/>
      <c r="F48" s="32"/>
      <c r="G48" s="32"/>
      <c r="H48" s="32"/>
      <c r="I48" s="141" t="str">
        <f>+I22</f>
        <v>$</v>
      </c>
      <c r="J48" s="17">
        <f>(J46+J47)</f>
        <v>119589.99892266667</v>
      </c>
      <c r="K48" s="17"/>
      <c r="L48" s="17">
        <f>J48+L46</f>
        <v>125277.23478933334</v>
      </c>
      <c r="M48" s="17"/>
      <c r="N48" s="17">
        <f>L48+N46</f>
        <v>132417.739932</v>
      </c>
      <c r="O48" s="17"/>
      <c r="P48" s="17">
        <f>N48+P46</f>
        <v>140909.30528894666</v>
      </c>
      <c r="Q48" s="17"/>
      <c r="R48" s="155">
        <f>P48+R46</f>
        <v>150968.96516960172</v>
      </c>
      <c r="S48" s="4"/>
    </row>
    <row r="49" spans="3:19" s="31" customFormat="1" ht="15" hidden="1" customHeight="1" thickTop="1">
      <c r="C49" s="154"/>
      <c r="D49" s="28" t="s">
        <v>27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156"/>
    </row>
    <row r="50" spans="3:19" s="31" customFormat="1" ht="12" hidden="1" customHeight="1">
      <c r="C50" s="157"/>
      <c r="D50" s="28"/>
      <c r="E50" s="28"/>
      <c r="F50" s="142">
        <f>+'RM-17-01 Input Data'!H65</f>
        <v>32755</v>
      </c>
      <c r="G50" s="28"/>
      <c r="H50" s="25"/>
      <c r="I50" s="28"/>
      <c r="J50" s="142">
        <f>-F50+J34+J48</f>
        <v>96661.498922666666</v>
      </c>
      <c r="K50" s="28"/>
      <c r="L50" s="142">
        <f>-F50+(+L34*2)+L48</f>
        <v>112175.23478933334</v>
      </c>
      <c r="M50" s="142"/>
      <c r="N50" s="142">
        <f>-F50+(+N34*3)+N48</f>
        <v>129142.239932</v>
      </c>
      <c r="O50" s="142"/>
      <c r="P50" s="142">
        <f>-F50+(+P34*4)+P48</f>
        <v>147460.30528894666</v>
      </c>
      <c r="Q50" s="142"/>
      <c r="R50" s="158">
        <f>-F50+(+R34*5)+R48</f>
        <v>167346.46516960172</v>
      </c>
    </row>
    <row r="51" spans="3:19" ht="15" hidden="1" customHeight="1">
      <c r="C51" s="157"/>
      <c r="D51" s="28"/>
      <c r="E51" s="28"/>
      <c r="F51" s="28"/>
      <c r="G51" s="28"/>
      <c r="H51" s="142"/>
      <c r="I51" s="28"/>
      <c r="J51" s="142">
        <f>IF(J50&lt;0,0,(-J50/$F50))</f>
        <v>-2.9510456089960821</v>
      </c>
      <c r="K51" s="28"/>
      <c r="L51" s="142">
        <f>IF(L50&lt;0,0,(-L50/$F50))</f>
        <v>-3.4246751576654964</v>
      </c>
      <c r="M51" s="142"/>
      <c r="N51" s="142">
        <f>IF(N50&lt;0,0,(-N50/$F50))</f>
        <v>-3.942672566997405</v>
      </c>
      <c r="O51" s="142"/>
      <c r="P51" s="142">
        <f>IF(P50&lt;0,0,(-P50/$F50))</f>
        <v>-4.5019174260096673</v>
      </c>
      <c r="Q51" s="142"/>
      <c r="R51" s="158">
        <f>IF(R50&lt;0,0,(-R50/$F50))</f>
        <v>-5.1090357249153326</v>
      </c>
      <c r="S51" s="2"/>
    </row>
    <row r="52" spans="3:19" ht="18.75" customHeight="1" thickTop="1">
      <c r="C52" s="157" t="s">
        <v>28</v>
      </c>
      <c r="D52" s="28"/>
      <c r="E52" s="28"/>
      <c r="F52" s="143">
        <f>IF(J51&lt;0,(1+J51),IF(L51&lt;0,(2+L51),IF(N51&lt;0,(3+N51),"Too many !")))</f>
        <v>-1.9510456089960821</v>
      </c>
      <c r="G52" s="28"/>
      <c r="H52" s="25"/>
      <c r="I52" s="25"/>
      <c r="J52" s="144"/>
      <c r="K52" s="145" t="s">
        <v>29</v>
      </c>
      <c r="L52" s="25"/>
      <c r="M52" s="28"/>
      <c r="N52" s="28"/>
      <c r="O52" s="28"/>
      <c r="P52" s="28"/>
      <c r="Q52" s="28"/>
      <c r="R52" s="159"/>
    </row>
    <row r="53" spans="3:19" ht="20.100000000000001" customHeight="1">
      <c r="C53" s="157"/>
      <c r="D53" s="28"/>
      <c r="E53" s="28"/>
      <c r="F53" s="144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159"/>
    </row>
    <row r="54" spans="3:19" ht="18.75" thickBot="1">
      <c r="C54" s="160" t="s">
        <v>30</v>
      </c>
      <c r="D54" s="161"/>
      <c r="E54" s="161"/>
      <c r="F54" s="162">
        <f>(R48)/5/F50</f>
        <v>0.9218071449830666</v>
      </c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3"/>
    </row>
    <row r="55" spans="3:19" ht="20.100000000000001" customHeight="1"/>
  </sheetData>
  <mergeCells count="1">
    <mergeCell ref="D4:P4"/>
  </mergeCells>
  <phoneticPr fontId="29" type="noConversion"/>
  <pageMargins left="0.75" right="0.75" top="1" bottom="1" header="0.5" footer="0.5"/>
  <pageSetup paperSize="9" scale="89" orientation="portrait" horizontalDpi="355" verticalDpi="464" r:id="rId1"/>
  <headerFooter alignWithMargins="0">
    <oddHeader>&amp;C9640A Acquisition and Automation Return on Investment
NWS Seal Beach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RM-17-01 Input Data</vt:lpstr>
      <vt:lpstr>RM-17 Field Test Vs Shop Test</vt:lpstr>
      <vt:lpstr>'RM-17 Field Test Vs Shop Test'!Print_Area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lcooley</cp:lastModifiedBy>
  <cp:lastPrinted>2009-10-08T17:15:25Z</cp:lastPrinted>
  <dcterms:created xsi:type="dcterms:W3CDTF">1998-04-07T16:20:36Z</dcterms:created>
  <dcterms:modified xsi:type="dcterms:W3CDTF">2010-12-20T14:46:48Z</dcterms:modified>
</cp:coreProperties>
</file>